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3020"/>
  </bookViews>
  <sheets>
    <sheet name="Nettoyages" sheetId="7" r:id="rId1"/>
    <sheet name="Recap %" sheetId="6" r:id="rId2"/>
    <sheet name="Recap kWh" sheetId="5" r:id="rId3"/>
    <sheet name="Coeff's perfo" sheetId="4" r:id="rId4"/>
    <sheet name="Gain action" sheetId="3" r:id="rId5"/>
    <sheet name="Pertes" sheetId="2" r:id="rId6"/>
    <sheet name="Réglages pertes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Inter_net">'Gain action'!$M$4</definedName>
    <definedName name="Inter_tai">'Gain action'!$N$4</definedName>
    <definedName name="Nserv">'Coeff''s perfo'!$T$1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5" l="1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H18" i="7" l="1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K18" i="7" l="1"/>
  <c r="K17" i="7"/>
  <c r="J18" i="7"/>
  <c r="I18" i="7" s="1"/>
  <c r="J17" i="7"/>
  <c r="I17" i="7" s="1"/>
  <c r="J16" i="7"/>
  <c r="I16" i="7" s="1"/>
  <c r="J15" i="7"/>
  <c r="I15" i="7" s="1"/>
  <c r="J14" i="7"/>
  <c r="I14" i="7" s="1"/>
  <c r="J13" i="7"/>
  <c r="I13" i="7" s="1"/>
  <c r="J12" i="7"/>
  <c r="I12" i="7" s="1"/>
  <c r="J11" i="7"/>
  <c r="I11" i="7" s="1"/>
  <c r="J10" i="7"/>
  <c r="I10" i="7" s="1"/>
  <c r="J9" i="7"/>
  <c r="I9" i="7" s="1"/>
  <c r="J8" i="7"/>
  <c r="I8" i="7" s="1"/>
  <c r="J7" i="7"/>
  <c r="I7" i="7" s="1"/>
  <c r="J6" i="7"/>
  <c r="I6" i="7" s="1"/>
  <c r="J5" i="7"/>
  <c r="I5" i="7" s="1"/>
  <c r="J4" i="7"/>
  <c r="I4" i="7" s="1"/>
  <c r="K11" i="7"/>
  <c r="K12" i="7"/>
  <c r="K13" i="7"/>
  <c r="K15" i="7" l="1"/>
  <c r="K14" i="7"/>
  <c r="K10" i="7"/>
  <c r="C41" i="1"/>
  <c r="C40" i="1"/>
  <c r="C39" i="1"/>
  <c r="C38" i="1"/>
  <c r="C37" i="1"/>
  <c r="C36" i="1"/>
  <c r="C35" i="1"/>
  <c r="C34" i="1"/>
  <c r="C33" i="1"/>
  <c r="C32" i="1"/>
  <c r="C31" i="1"/>
  <c r="AK27" i="1"/>
  <c r="AK26" i="1"/>
  <c r="AK25" i="1"/>
  <c r="AK24" i="1"/>
  <c r="AK23" i="1"/>
  <c r="AK22" i="1"/>
  <c r="AK21" i="1"/>
  <c r="AK20" i="1"/>
  <c r="AK19" i="1"/>
  <c r="AK18" i="1"/>
  <c r="T27" i="1"/>
  <c r="T26" i="1"/>
  <c r="T25" i="1"/>
  <c r="T24" i="1"/>
  <c r="T23" i="1"/>
  <c r="T22" i="1"/>
  <c r="T21" i="1"/>
  <c r="T20" i="1"/>
  <c r="T19" i="1"/>
  <c r="T18" i="1"/>
  <c r="AK14" i="1"/>
  <c r="AK13" i="1"/>
  <c r="AK12" i="1"/>
  <c r="AK11" i="1"/>
  <c r="AK10" i="1"/>
  <c r="AK9" i="1"/>
  <c r="AK8" i="1"/>
  <c r="AK7" i="1"/>
  <c r="AK6" i="1"/>
  <c r="AK5" i="1"/>
  <c r="T14" i="1"/>
  <c r="T13" i="1"/>
  <c r="T12" i="1"/>
  <c r="T11" i="1"/>
  <c r="T10" i="1"/>
  <c r="T9" i="1"/>
  <c r="T8" i="1"/>
  <c r="T7" i="1"/>
  <c r="T6" i="1"/>
  <c r="T5" i="1"/>
  <c r="C42" i="2"/>
  <c r="C41" i="2"/>
  <c r="C40" i="2"/>
  <c r="C39" i="2"/>
  <c r="C38" i="2"/>
  <c r="C37" i="2"/>
  <c r="C36" i="2"/>
  <c r="C35" i="2"/>
  <c r="C34" i="2"/>
  <c r="C33" i="2"/>
  <c r="I23" i="6"/>
  <c r="C23" i="6"/>
  <c r="G5" i="7"/>
  <c r="U42" i="2"/>
  <c r="U41" i="2"/>
  <c r="U40" i="2"/>
  <c r="U39" i="2"/>
  <c r="U38" i="2"/>
  <c r="U37" i="2"/>
  <c r="U36" i="2"/>
  <c r="U35" i="2"/>
  <c r="U34" i="2"/>
  <c r="U33" i="2"/>
  <c r="U28" i="2"/>
  <c r="U27" i="2"/>
  <c r="U26" i="2"/>
  <c r="U25" i="2"/>
  <c r="U24" i="2"/>
  <c r="U23" i="2"/>
  <c r="U22" i="2"/>
  <c r="U21" i="2"/>
  <c r="U20" i="2"/>
  <c r="U19" i="2"/>
  <c r="C28" i="2"/>
  <c r="C27" i="2"/>
  <c r="C26" i="2"/>
  <c r="C25" i="2"/>
  <c r="C24" i="2"/>
  <c r="C23" i="2"/>
  <c r="C22" i="2"/>
  <c r="C21" i="2"/>
  <c r="C20" i="2"/>
  <c r="C19" i="2"/>
  <c r="C14" i="2"/>
  <c r="C13" i="2"/>
  <c r="C12" i="2"/>
  <c r="C11" i="2"/>
  <c r="C10" i="2"/>
  <c r="C9" i="2"/>
  <c r="C8" i="2"/>
  <c r="U14" i="2"/>
  <c r="U13" i="2"/>
  <c r="U12" i="2"/>
  <c r="U11" i="2"/>
  <c r="U10" i="2"/>
  <c r="U9" i="2"/>
  <c r="U8" i="2"/>
  <c r="U7" i="2"/>
  <c r="U6" i="2"/>
  <c r="U5" i="2"/>
  <c r="C28" i="3"/>
  <c r="C27" i="3"/>
  <c r="C26" i="3"/>
  <c r="C25" i="3"/>
  <c r="C24" i="3"/>
  <c r="C23" i="3"/>
  <c r="C22" i="3"/>
  <c r="C13" i="3"/>
  <c r="C12" i="3"/>
  <c r="C11" i="3"/>
  <c r="C10" i="3"/>
  <c r="C9" i="3"/>
  <c r="C8" i="3"/>
  <c r="C7" i="3"/>
  <c r="V19" i="4"/>
  <c r="V18" i="4"/>
  <c r="V17" i="4"/>
  <c r="V16" i="4"/>
  <c r="V15" i="4"/>
  <c r="V14" i="4"/>
  <c r="V13" i="4"/>
  <c r="V12" i="4"/>
  <c r="V11" i="4"/>
  <c r="V10" i="4"/>
  <c r="V9" i="4"/>
  <c r="V8" i="4"/>
  <c r="C29" i="5"/>
  <c r="C28" i="5"/>
  <c r="C6" i="5"/>
  <c r="C46" i="6"/>
  <c r="C45" i="6"/>
  <c r="C6" i="6"/>
  <c r="K5" i="7"/>
  <c r="F5" i="7"/>
  <c r="E5" i="7"/>
  <c r="D5" i="7"/>
  <c r="C5" i="7"/>
  <c r="B5" i="7"/>
  <c r="L18" i="7" l="1"/>
  <c r="L17" i="7"/>
  <c r="K16" i="7"/>
  <c r="L16" i="7" s="1"/>
  <c r="L15" i="7"/>
  <c r="L14" i="7"/>
  <c r="L13" i="7"/>
  <c r="L12" i="7"/>
  <c r="L11" i="7"/>
  <c r="L10" i="7"/>
  <c r="K9" i="7"/>
  <c r="L9" i="7" s="1"/>
  <c r="K8" i="7"/>
  <c r="L8" i="7" s="1"/>
  <c r="K7" i="7"/>
  <c r="L7" i="7" s="1"/>
  <c r="K6" i="7"/>
  <c r="L6" i="7" s="1"/>
  <c r="L5" i="7"/>
  <c r="K4" i="7"/>
  <c r="L4" i="7" s="1"/>
  <c r="G17" i="7" l="1"/>
  <c r="G16" i="7"/>
  <c r="G15" i="7"/>
  <c r="G14" i="7"/>
  <c r="G13" i="7"/>
  <c r="G12" i="7"/>
  <c r="G11" i="7"/>
  <c r="G10" i="7"/>
  <c r="G9" i="7"/>
  <c r="G8" i="7"/>
  <c r="G7" i="7"/>
  <c r="G6" i="7"/>
  <c r="G4" i="7"/>
  <c r="F17" i="7" l="1"/>
  <c r="F16" i="7"/>
  <c r="F15" i="7"/>
  <c r="F14" i="7"/>
  <c r="F13" i="7"/>
  <c r="F12" i="7"/>
  <c r="F11" i="7"/>
  <c r="F10" i="7"/>
  <c r="F9" i="7"/>
  <c r="F8" i="7"/>
  <c r="F7" i="7"/>
  <c r="F6" i="7"/>
  <c r="F4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4" i="7"/>
  <c r="D13" i="7"/>
  <c r="D12" i="7"/>
  <c r="D11" i="7"/>
  <c r="D10" i="7"/>
  <c r="D9" i="7"/>
  <c r="D8" i="7"/>
  <c r="D7" i="7"/>
  <c r="D6" i="7"/>
  <c r="D4" i="7"/>
  <c r="D16" i="7" l="1"/>
  <c r="D15" i="7"/>
  <c r="D14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4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4" i="7"/>
  <c r="N46" i="6" l="1"/>
  <c r="B45" i="6"/>
  <c r="D45" i="6"/>
  <c r="E45" i="6"/>
  <c r="F45" i="6"/>
  <c r="G45" i="6"/>
  <c r="H45" i="6"/>
  <c r="I45" i="6"/>
  <c r="J45" i="6"/>
  <c r="K45" i="6"/>
  <c r="L45" i="6"/>
  <c r="M45" i="6"/>
  <c r="N45" i="6"/>
  <c r="O45" i="6"/>
  <c r="B46" i="6"/>
  <c r="D46" i="6"/>
  <c r="E46" i="6"/>
  <c r="G46" i="6"/>
  <c r="H46" i="6"/>
  <c r="I46" i="6"/>
  <c r="J46" i="6"/>
  <c r="K46" i="6"/>
  <c r="L46" i="6"/>
  <c r="M46" i="6"/>
  <c r="O46" i="6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N35" i="1"/>
  <c r="M35" i="1"/>
  <c r="L35" i="1"/>
  <c r="K35" i="1"/>
  <c r="J35" i="1"/>
  <c r="I35" i="1"/>
  <c r="H35" i="1"/>
  <c r="G35" i="1"/>
  <c r="F35" i="1"/>
  <c r="E35" i="1"/>
  <c r="D35" i="1"/>
  <c r="B35" i="1"/>
  <c r="N34" i="1"/>
  <c r="M34" i="1"/>
  <c r="L34" i="1"/>
  <c r="K34" i="1"/>
  <c r="J34" i="1"/>
  <c r="I34" i="1"/>
  <c r="H34" i="1"/>
  <c r="G34" i="1"/>
  <c r="F34" i="1"/>
  <c r="E34" i="1"/>
  <c r="D34" i="1"/>
  <c r="B34" i="1"/>
  <c r="K33" i="1"/>
  <c r="J33" i="1"/>
  <c r="I33" i="1"/>
  <c r="H33" i="1"/>
  <c r="G33" i="1"/>
  <c r="F33" i="1"/>
  <c r="E33" i="1"/>
  <c r="D33" i="1"/>
  <c r="B33" i="1"/>
  <c r="H32" i="1"/>
  <c r="G32" i="1"/>
  <c r="F32" i="1"/>
  <c r="E32" i="1"/>
  <c r="D32" i="1"/>
  <c r="B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J27" i="1"/>
  <c r="AF27" i="1"/>
  <c r="AE27" i="1"/>
  <c r="AD27" i="1"/>
  <c r="AC27" i="1"/>
  <c r="AB27" i="1"/>
  <c r="AA27" i="1"/>
  <c r="Z27" i="1"/>
  <c r="Y27" i="1"/>
  <c r="X27" i="1"/>
  <c r="W27" i="1"/>
  <c r="V27" i="1"/>
  <c r="U27" i="1"/>
  <c r="S27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J26" i="1"/>
  <c r="AF26" i="1"/>
  <c r="AE26" i="1"/>
  <c r="AD26" i="1"/>
  <c r="AC26" i="1"/>
  <c r="AB26" i="1"/>
  <c r="AA26" i="1"/>
  <c r="Z26" i="1"/>
  <c r="Y26" i="1"/>
  <c r="X26" i="1"/>
  <c r="W26" i="1"/>
  <c r="V26" i="1"/>
  <c r="U26" i="1"/>
  <c r="S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J25" i="1"/>
  <c r="AF25" i="1"/>
  <c r="AE25" i="1"/>
  <c r="AD25" i="1"/>
  <c r="AC25" i="1"/>
  <c r="AB25" i="1"/>
  <c r="AA25" i="1"/>
  <c r="Z25" i="1"/>
  <c r="Y25" i="1"/>
  <c r="X25" i="1"/>
  <c r="W25" i="1"/>
  <c r="V25" i="1"/>
  <c r="U25" i="1"/>
  <c r="S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J24" i="1"/>
  <c r="AF24" i="1"/>
  <c r="AE24" i="1"/>
  <c r="AD24" i="1"/>
  <c r="AC24" i="1"/>
  <c r="AB24" i="1"/>
  <c r="AA24" i="1"/>
  <c r="Z24" i="1"/>
  <c r="Y24" i="1"/>
  <c r="X24" i="1"/>
  <c r="W24" i="1"/>
  <c r="V24" i="1"/>
  <c r="U24" i="1"/>
  <c r="S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J23" i="1"/>
  <c r="AF23" i="1"/>
  <c r="AE23" i="1"/>
  <c r="AD23" i="1"/>
  <c r="AC23" i="1"/>
  <c r="AB23" i="1"/>
  <c r="AA23" i="1"/>
  <c r="Z23" i="1"/>
  <c r="Y23" i="1"/>
  <c r="X23" i="1"/>
  <c r="W23" i="1"/>
  <c r="V23" i="1"/>
  <c r="U23" i="1"/>
  <c r="S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J22" i="1"/>
  <c r="AF22" i="1"/>
  <c r="AE22" i="1"/>
  <c r="AD22" i="1"/>
  <c r="AC22" i="1"/>
  <c r="AB22" i="1"/>
  <c r="AA22" i="1"/>
  <c r="Z22" i="1"/>
  <c r="Y22" i="1"/>
  <c r="X22" i="1"/>
  <c r="W22" i="1"/>
  <c r="V22" i="1"/>
  <c r="U22" i="1"/>
  <c r="S22" i="1"/>
  <c r="AV21" i="1"/>
  <c r="AU21" i="1"/>
  <c r="AT21" i="1"/>
  <c r="AS21" i="1"/>
  <c r="AR21" i="1"/>
  <c r="AQ21" i="1"/>
  <c r="AP21" i="1"/>
  <c r="AO21" i="1"/>
  <c r="AN21" i="1"/>
  <c r="AM21" i="1"/>
  <c r="AL21" i="1"/>
  <c r="AJ21" i="1"/>
  <c r="AE21" i="1"/>
  <c r="AD21" i="1"/>
  <c r="AC21" i="1"/>
  <c r="AB21" i="1"/>
  <c r="AA21" i="1"/>
  <c r="Z21" i="1"/>
  <c r="Y21" i="1"/>
  <c r="X21" i="1"/>
  <c r="W21" i="1"/>
  <c r="V21" i="1"/>
  <c r="U21" i="1"/>
  <c r="S21" i="1"/>
  <c r="AV20" i="1"/>
  <c r="AU20" i="1"/>
  <c r="AT20" i="1"/>
  <c r="AS20" i="1"/>
  <c r="AR20" i="1"/>
  <c r="AQ20" i="1"/>
  <c r="AP20" i="1"/>
  <c r="AO20" i="1"/>
  <c r="AN20" i="1"/>
  <c r="AM20" i="1"/>
  <c r="AL20" i="1"/>
  <c r="AJ20" i="1"/>
  <c r="AE20" i="1"/>
  <c r="AD20" i="1"/>
  <c r="AC20" i="1"/>
  <c r="AB20" i="1"/>
  <c r="AA20" i="1"/>
  <c r="Z20" i="1"/>
  <c r="Y20" i="1"/>
  <c r="X20" i="1"/>
  <c r="W20" i="1"/>
  <c r="V20" i="1"/>
  <c r="U20" i="1"/>
  <c r="S20" i="1"/>
  <c r="AS19" i="1"/>
  <c r="AR19" i="1"/>
  <c r="AQ19" i="1"/>
  <c r="AP19" i="1"/>
  <c r="AO19" i="1"/>
  <c r="AN19" i="1"/>
  <c r="AM19" i="1"/>
  <c r="AL19" i="1"/>
  <c r="AJ19" i="1"/>
  <c r="AB19" i="1"/>
  <c r="AA19" i="1"/>
  <c r="Z19" i="1"/>
  <c r="Y19" i="1"/>
  <c r="X19" i="1"/>
  <c r="W19" i="1"/>
  <c r="V19" i="1"/>
  <c r="U19" i="1"/>
  <c r="S19" i="1"/>
  <c r="AP18" i="1"/>
  <c r="AO18" i="1"/>
  <c r="AN18" i="1"/>
  <c r="AM18" i="1"/>
  <c r="AL18" i="1"/>
  <c r="AJ18" i="1"/>
  <c r="Y18" i="1"/>
  <c r="X18" i="1"/>
  <c r="W18" i="1"/>
  <c r="V18" i="1"/>
  <c r="U18" i="1"/>
  <c r="S18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J14" i="1"/>
  <c r="AF14" i="1"/>
  <c r="AE14" i="1"/>
  <c r="AD14" i="1"/>
  <c r="AC14" i="1"/>
  <c r="AB14" i="1"/>
  <c r="AA14" i="1"/>
  <c r="Z14" i="1"/>
  <c r="Y14" i="1"/>
  <c r="X14" i="1"/>
  <c r="W14" i="1"/>
  <c r="V14" i="1"/>
  <c r="U14" i="1"/>
  <c r="S14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J13" i="1"/>
  <c r="AF13" i="1"/>
  <c r="AE13" i="1"/>
  <c r="AD13" i="1"/>
  <c r="AC13" i="1"/>
  <c r="AB13" i="1"/>
  <c r="AA13" i="1"/>
  <c r="Z13" i="1"/>
  <c r="Y13" i="1"/>
  <c r="X13" i="1"/>
  <c r="W13" i="1"/>
  <c r="V13" i="1"/>
  <c r="U13" i="1"/>
  <c r="S13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J12" i="1"/>
  <c r="AF12" i="1"/>
  <c r="AE12" i="1"/>
  <c r="AD12" i="1"/>
  <c r="AC12" i="1"/>
  <c r="AB12" i="1"/>
  <c r="AA12" i="1"/>
  <c r="Z12" i="1"/>
  <c r="Y12" i="1"/>
  <c r="X12" i="1"/>
  <c r="W12" i="1"/>
  <c r="V12" i="1"/>
  <c r="U12" i="1"/>
  <c r="S12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J11" i="1"/>
  <c r="AF11" i="1"/>
  <c r="AE11" i="1"/>
  <c r="AD11" i="1"/>
  <c r="AC11" i="1"/>
  <c r="AB11" i="1"/>
  <c r="AA11" i="1"/>
  <c r="Z11" i="1"/>
  <c r="Y11" i="1"/>
  <c r="X11" i="1"/>
  <c r="W11" i="1"/>
  <c r="V11" i="1"/>
  <c r="U11" i="1"/>
  <c r="S11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J10" i="1"/>
  <c r="AF10" i="1"/>
  <c r="AE10" i="1"/>
  <c r="AD10" i="1"/>
  <c r="AC10" i="1"/>
  <c r="AB10" i="1"/>
  <c r="AA10" i="1"/>
  <c r="Z10" i="1"/>
  <c r="Y10" i="1"/>
  <c r="X10" i="1"/>
  <c r="W10" i="1"/>
  <c r="V10" i="1"/>
  <c r="U10" i="1"/>
  <c r="S10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J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S9" i="1"/>
  <c r="AV8" i="1"/>
  <c r="AU8" i="1"/>
  <c r="AT8" i="1"/>
  <c r="AS8" i="1"/>
  <c r="AR8" i="1"/>
  <c r="AQ8" i="1"/>
  <c r="AP8" i="1"/>
  <c r="AO8" i="1"/>
  <c r="AN8" i="1"/>
  <c r="AM8" i="1"/>
  <c r="AL8" i="1"/>
  <c r="AJ8" i="1"/>
  <c r="AE8" i="1"/>
  <c r="AD8" i="1"/>
  <c r="AC8" i="1"/>
  <c r="AB8" i="1"/>
  <c r="AA8" i="1"/>
  <c r="Z8" i="1"/>
  <c r="Y8" i="1"/>
  <c r="X8" i="1"/>
  <c r="W8" i="1"/>
  <c r="V8" i="1"/>
  <c r="U8" i="1"/>
  <c r="S8" i="1"/>
  <c r="AV7" i="1"/>
  <c r="AU7" i="1"/>
  <c r="AT7" i="1"/>
  <c r="AS7" i="1"/>
  <c r="AR7" i="1"/>
  <c r="AQ7" i="1"/>
  <c r="AP7" i="1"/>
  <c r="AO7" i="1"/>
  <c r="AN7" i="1"/>
  <c r="AM7" i="1"/>
  <c r="AL7" i="1"/>
  <c r="AJ7" i="1"/>
  <c r="AE7" i="1"/>
  <c r="AD7" i="1"/>
  <c r="AC7" i="1"/>
  <c r="AB7" i="1"/>
  <c r="AA7" i="1"/>
  <c r="Z7" i="1"/>
  <c r="Y7" i="1"/>
  <c r="X7" i="1"/>
  <c r="W7" i="1"/>
  <c r="V7" i="1"/>
  <c r="U7" i="1"/>
  <c r="S7" i="1"/>
  <c r="AS6" i="1"/>
  <c r="AR6" i="1"/>
  <c r="AQ6" i="1"/>
  <c r="AP6" i="1"/>
  <c r="AO6" i="1"/>
  <c r="AN6" i="1"/>
  <c r="AM6" i="1"/>
  <c r="AL6" i="1"/>
  <c r="AJ6" i="1"/>
  <c r="AB6" i="1"/>
  <c r="AA6" i="1"/>
  <c r="Z6" i="1"/>
  <c r="Y6" i="1"/>
  <c r="X6" i="1"/>
  <c r="W6" i="1"/>
  <c r="V6" i="1"/>
  <c r="U6" i="1"/>
  <c r="S6" i="1"/>
  <c r="AP5" i="1"/>
  <c r="AO5" i="1"/>
  <c r="AN5" i="1"/>
  <c r="AM5" i="1"/>
  <c r="AL5" i="1"/>
  <c r="AJ5" i="1"/>
  <c r="Y5" i="1"/>
  <c r="X5" i="1"/>
  <c r="W5" i="1"/>
  <c r="V5" i="1"/>
  <c r="U5" i="1"/>
  <c r="S5" i="1"/>
  <c r="AG42" i="2"/>
  <c r="AF42" i="2"/>
  <c r="AE42" i="2"/>
  <c r="AD42" i="2"/>
  <c r="AC42" i="2"/>
  <c r="AB42" i="2"/>
  <c r="AA42" i="2"/>
  <c r="Z42" i="2"/>
  <c r="Y42" i="2"/>
  <c r="X42" i="2"/>
  <c r="W42" i="2"/>
  <c r="V42" i="2"/>
  <c r="T42" i="2"/>
  <c r="O42" i="2"/>
  <c r="N42" i="2"/>
  <c r="M42" i="2"/>
  <c r="L42" i="2"/>
  <c r="K42" i="2"/>
  <c r="J42" i="2"/>
  <c r="I42" i="2"/>
  <c r="H42" i="2"/>
  <c r="G42" i="2"/>
  <c r="F42" i="2"/>
  <c r="E42" i="2"/>
  <c r="D42" i="2"/>
  <c r="B42" i="2"/>
  <c r="AG41" i="2"/>
  <c r="AF41" i="2"/>
  <c r="AE41" i="2"/>
  <c r="AD41" i="2"/>
  <c r="AC41" i="2"/>
  <c r="AB41" i="2"/>
  <c r="AA41" i="2"/>
  <c r="Z41" i="2"/>
  <c r="Y41" i="2"/>
  <c r="X41" i="2"/>
  <c r="W41" i="2"/>
  <c r="V41" i="2"/>
  <c r="T41" i="2"/>
  <c r="O41" i="2"/>
  <c r="N41" i="2"/>
  <c r="M41" i="2"/>
  <c r="L41" i="2"/>
  <c r="K41" i="2"/>
  <c r="J41" i="2"/>
  <c r="I41" i="2"/>
  <c r="H41" i="2"/>
  <c r="G41" i="2"/>
  <c r="F41" i="2"/>
  <c r="E41" i="2"/>
  <c r="D41" i="2"/>
  <c r="B41" i="2"/>
  <c r="AG40" i="2"/>
  <c r="AF40" i="2"/>
  <c r="AE40" i="2"/>
  <c r="AD40" i="2"/>
  <c r="AC40" i="2"/>
  <c r="AB40" i="2"/>
  <c r="AA40" i="2"/>
  <c r="Z40" i="2"/>
  <c r="Y40" i="2"/>
  <c r="X40" i="2"/>
  <c r="W40" i="2"/>
  <c r="V40" i="2"/>
  <c r="T40" i="2"/>
  <c r="O40" i="2"/>
  <c r="N40" i="2"/>
  <c r="M40" i="2"/>
  <c r="L40" i="2"/>
  <c r="K40" i="2"/>
  <c r="J40" i="2"/>
  <c r="I40" i="2"/>
  <c r="H40" i="2"/>
  <c r="G40" i="2"/>
  <c r="F40" i="2"/>
  <c r="E40" i="2"/>
  <c r="D40" i="2"/>
  <c r="B40" i="2"/>
  <c r="AG39" i="2"/>
  <c r="AF39" i="2"/>
  <c r="AE39" i="2"/>
  <c r="AD39" i="2"/>
  <c r="AC39" i="2"/>
  <c r="AB39" i="2"/>
  <c r="AA39" i="2"/>
  <c r="Z39" i="2"/>
  <c r="Y39" i="2"/>
  <c r="X39" i="2"/>
  <c r="W39" i="2"/>
  <c r="V39" i="2"/>
  <c r="T39" i="2"/>
  <c r="O39" i="2"/>
  <c r="N39" i="2"/>
  <c r="M39" i="2"/>
  <c r="L39" i="2"/>
  <c r="K39" i="2"/>
  <c r="J39" i="2"/>
  <c r="I39" i="2"/>
  <c r="H39" i="2"/>
  <c r="G39" i="2"/>
  <c r="F39" i="2"/>
  <c r="E39" i="2"/>
  <c r="D39" i="2"/>
  <c r="B39" i="2"/>
  <c r="AG38" i="2"/>
  <c r="AF38" i="2"/>
  <c r="AE38" i="2"/>
  <c r="AD38" i="2"/>
  <c r="AC38" i="2"/>
  <c r="AB38" i="2"/>
  <c r="AA38" i="2"/>
  <c r="Z38" i="2"/>
  <c r="Y38" i="2"/>
  <c r="X38" i="2"/>
  <c r="W38" i="2"/>
  <c r="V38" i="2"/>
  <c r="T38" i="2"/>
  <c r="O38" i="2"/>
  <c r="N38" i="2"/>
  <c r="M38" i="2"/>
  <c r="L38" i="2"/>
  <c r="K38" i="2"/>
  <c r="J38" i="2"/>
  <c r="I38" i="2"/>
  <c r="H38" i="2"/>
  <c r="G38" i="2"/>
  <c r="F38" i="2"/>
  <c r="E38" i="2"/>
  <c r="D38" i="2"/>
  <c r="B38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T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B37" i="2"/>
  <c r="AF36" i="2"/>
  <c r="AE36" i="2"/>
  <c r="AD36" i="2"/>
  <c r="AC36" i="2"/>
  <c r="AB36" i="2"/>
  <c r="AA36" i="2"/>
  <c r="Z36" i="2"/>
  <c r="Y36" i="2"/>
  <c r="X36" i="2"/>
  <c r="W36" i="2"/>
  <c r="V36" i="2"/>
  <c r="T36" i="2"/>
  <c r="N36" i="2"/>
  <c r="M36" i="2"/>
  <c r="L36" i="2"/>
  <c r="K36" i="2"/>
  <c r="J36" i="2"/>
  <c r="I36" i="2"/>
  <c r="H36" i="2"/>
  <c r="G36" i="2"/>
  <c r="F36" i="2"/>
  <c r="E36" i="2"/>
  <c r="D36" i="2"/>
  <c r="B36" i="2"/>
  <c r="AF35" i="2"/>
  <c r="AE35" i="2"/>
  <c r="AD35" i="2"/>
  <c r="AC35" i="2"/>
  <c r="AB35" i="2"/>
  <c r="AA35" i="2"/>
  <c r="Z35" i="2"/>
  <c r="Y35" i="2"/>
  <c r="X35" i="2"/>
  <c r="W35" i="2"/>
  <c r="V35" i="2"/>
  <c r="T35" i="2"/>
  <c r="N35" i="2"/>
  <c r="M35" i="2"/>
  <c r="L35" i="2"/>
  <c r="K35" i="2"/>
  <c r="J35" i="2"/>
  <c r="I35" i="2"/>
  <c r="H35" i="2"/>
  <c r="G35" i="2"/>
  <c r="F35" i="2"/>
  <c r="E35" i="2"/>
  <c r="D35" i="2"/>
  <c r="B35" i="2"/>
  <c r="AC34" i="2"/>
  <c r="AB34" i="2"/>
  <c r="AA34" i="2"/>
  <c r="Z34" i="2"/>
  <c r="Y34" i="2"/>
  <c r="X34" i="2"/>
  <c r="W34" i="2"/>
  <c r="V34" i="2"/>
  <c r="T34" i="2"/>
  <c r="K34" i="2"/>
  <c r="J34" i="2"/>
  <c r="I34" i="2"/>
  <c r="H34" i="2"/>
  <c r="G34" i="2"/>
  <c r="F34" i="2"/>
  <c r="E34" i="2"/>
  <c r="D34" i="2"/>
  <c r="B34" i="2"/>
  <c r="Z33" i="2"/>
  <c r="Y33" i="2"/>
  <c r="X33" i="2"/>
  <c r="W33" i="2"/>
  <c r="V33" i="2"/>
  <c r="T33" i="2"/>
  <c r="H33" i="2"/>
  <c r="G33" i="2"/>
  <c r="F33" i="2"/>
  <c r="E33" i="2"/>
  <c r="D33" i="2"/>
  <c r="B33" i="2"/>
  <c r="AG28" i="2"/>
  <c r="AF28" i="2"/>
  <c r="AE28" i="2"/>
  <c r="AD28" i="2"/>
  <c r="AC28" i="2"/>
  <c r="AB28" i="2"/>
  <c r="AA28" i="2"/>
  <c r="Z28" i="2"/>
  <c r="Y28" i="2"/>
  <c r="X28" i="2"/>
  <c r="W28" i="2"/>
  <c r="V28" i="2"/>
  <c r="T28" i="2"/>
  <c r="O28" i="2"/>
  <c r="N28" i="2"/>
  <c r="M28" i="2"/>
  <c r="L28" i="2"/>
  <c r="K28" i="2"/>
  <c r="J28" i="2"/>
  <c r="I28" i="2"/>
  <c r="H28" i="2"/>
  <c r="G28" i="2"/>
  <c r="F28" i="2"/>
  <c r="E28" i="2"/>
  <c r="D28" i="2"/>
  <c r="B28" i="2"/>
  <c r="AG27" i="2"/>
  <c r="AF27" i="2"/>
  <c r="AE27" i="2"/>
  <c r="AD27" i="2"/>
  <c r="AC27" i="2"/>
  <c r="AB27" i="2"/>
  <c r="AA27" i="2"/>
  <c r="Z27" i="2"/>
  <c r="Y27" i="2"/>
  <c r="X27" i="2"/>
  <c r="W27" i="2"/>
  <c r="V27" i="2"/>
  <c r="T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G26" i="2"/>
  <c r="AF26" i="2"/>
  <c r="AE26" i="2"/>
  <c r="AD26" i="2"/>
  <c r="AC26" i="2"/>
  <c r="AB26" i="2"/>
  <c r="AA26" i="2"/>
  <c r="Z26" i="2"/>
  <c r="Y26" i="2"/>
  <c r="X26" i="2"/>
  <c r="W26" i="2"/>
  <c r="V26" i="2"/>
  <c r="T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G25" i="2"/>
  <c r="AF25" i="2"/>
  <c r="AE25" i="2"/>
  <c r="AD25" i="2"/>
  <c r="AC25" i="2"/>
  <c r="AB25" i="2"/>
  <c r="AA25" i="2"/>
  <c r="Z25" i="2"/>
  <c r="Y25" i="2"/>
  <c r="X25" i="2"/>
  <c r="W25" i="2"/>
  <c r="V25" i="2"/>
  <c r="T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G24" i="2"/>
  <c r="AF24" i="2"/>
  <c r="AE24" i="2"/>
  <c r="AD24" i="2"/>
  <c r="AC24" i="2"/>
  <c r="AB24" i="2"/>
  <c r="AA24" i="2"/>
  <c r="Z24" i="2"/>
  <c r="Y24" i="2"/>
  <c r="X24" i="2"/>
  <c r="W24" i="2"/>
  <c r="V24" i="2"/>
  <c r="T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G23" i="2"/>
  <c r="AF23" i="2"/>
  <c r="AE23" i="2"/>
  <c r="AD23" i="2"/>
  <c r="AC23" i="2"/>
  <c r="AB23" i="2"/>
  <c r="AA23" i="2"/>
  <c r="Z23" i="2"/>
  <c r="Y23" i="2"/>
  <c r="X23" i="2"/>
  <c r="W23" i="2"/>
  <c r="V23" i="2"/>
  <c r="T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F22" i="2"/>
  <c r="AE22" i="2"/>
  <c r="AD22" i="2"/>
  <c r="AC22" i="2"/>
  <c r="AB22" i="2"/>
  <c r="AA22" i="2"/>
  <c r="Z22" i="2"/>
  <c r="Y22" i="2"/>
  <c r="X22" i="2"/>
  <c r="W22" i="2"/>
  <c r="V22" i="2"/>
  <c r="T22" i="2"/>
  <c r="N22" i="2"/>
  <c r="M22" i="2"/>
  <c r="L22" i="2"/>
  <c r="K22" i="2"/>
  <c r="J22" i="2"/>
  <c r="I22" i="2"/>
  <c r="H22" i="2"/>
  <c r="G22" i="2"/>
  <c r="F22" i="2"/>
  <c r="E22" i="2"/>
  <c r="D22" i="2"/>
  <c r="B22" i="2"/>
  <c r="AF21" i="2"/>
  <c r="AE21" i="2"/>
  <c r="AD21" i="2"/>
  <c r="AC21" i="2"/>
  <c r="AB21" i="2"/>
  <c r="AA21" i="2"/>
  <c r="Z21" i="2"/>
  <c r="Y21" i="2"/>
  <c r="X21" i="2"/>
  <c r="W21" i="2"/>
  <c r="V21" i="2"/>
  <c r="T21" i="2"/>
  <c r="N21" i="2"/>
  <c r="M21" i="2"/>
  <c r="L21" i="2"/>
  <c r="K21" i="2"/>
  <c r="J21" i="2"/>
  <c r="I21" i="2"/>
  <c r="H21" i="2"/>
  <c r="G21" i="2"/>
  <c r="F21" i="2"/>
  <c r="E21" i="2"/>
  <c r="D21" i="2"/>
  <c r="B21" i="2"/>
  <c r="AC20" i="2"/>
  <c r="AB20" i="2"/>
  <c r="AA20" i="2"/>
  <c r="Z20" i="2"/>
  <c r="Y20" i="2"/>
  <c r="X20" i="2"/>
  <c r="W20" i="2"/>
  <c r="V20" i="2"/>
  <c r="T20" i="2"/>
  <c r="K20" i="2"/>
  <c r="J20" i="2"/>
  <c r="I20" i="2"/>
  <c r="H20" i="2"/>
  <c r="G20" i="2"/>
  <c r="F20" i="2"/>
  <c r="E20" i="2"/>
  <c r="D20" i="2"/>
  <c r="B20" i="2"/>
  <c r="Z19" i="2"/>
  <c r="Y19" i="2"/>
  <c r="X19" i="2"/>
  <c r="W19" i="2"/>
  <c r="V19" i="2"/>
  <c r="T19" i="2"/>
  <c r="H19" i="2"/>
  <c r="G19" i="2"/>
  <c r="F19" i="2"/>
  <c r="E19" i="2"/>
  <c r="D19" i="2"/>
  <c r="B19" i="2"/>
  <c r="AG14" i="2"/>
  <c r="AF14" i="2"/>
  <c r="AE14" i="2"/>
  <c r="AD14" i="2"/>
  <c r="AC14" i="2"/>
  <c r="AB14" i="2"/>
  <c r="AA14" i="2"/>
  <c r="Z14" i="2"/>
  <c r="Y14" i="2"/>
  <c r="X14" i="2"/>
  <c r="W14" i="2"/>
  <c r="V14" i="2"/>
  <c r="T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G13" i="2"/>
  <c r="AF13" i="2"/>
  <c r="AE13" i="2"/>
  <c r="AD13" i="2"/>
  <c r="AC13" i="2"/>
  <c r="AB13" i="2"/>
  <c r="AA13" i="2"/>
  <c r="Z13" i="2"/>
  <c r="Y13" i="2"/>
  <c r="X13" i="2"/>
  <c r="W13" i="2"/>
  <c r="V13" i="2"/>
  <c r="T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G12" i="2"/>
  <c r="AF12" i="2"/>
  <c r="AE12" i="2"/>
  <c r="AD12" i="2"/>
  <c r="AC12" i="2"/>
  <c r="AB12" i="2"/>
  <c r="AA12" i="2"/>
  <c r="Z12" i="2"/>
  <c r="Y12" i="2"/>
  <c r="X12" i="2"/>
  <c r="W12" i="2"/>
  <c r="V12" i="2"/>
  <c r="T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G11" i="2"/>
  <c r="AF11" i="2"/>
  <c r="AE11" i="2"/>
  <c r="AD11" i="2"/>
  <c r="AC11" i="2"/>
  <c r="AB11" i="2"/>
  <c r="AA11" i="2"/>
  <c r="Z11" i="2"/>
  <c r="Y11" i="2"/>
  <c r="X11" i="2"/>
  <c r="W11" i="2"/>
  <c r="V11" i="2"/>
  <c r="T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G10" i="2"/>
  <c r="AF10" i="2"/>
  <c r="AE10" i="2"/>
  <c r="AD10" i="2"/>
  <c r="AC10" i="2"/>
  <c r="AB10" i="2"/>
  <c r="AA10" i="2"/>
  <c r="Z10" i="2"/>
  <c r="Y10" i="2"/>
  <c r="X10" i="2"/>
  <c r="W10" i="2"/>
  <c r="V10" i="2"/>
  <c r="T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G9" i="2"/>
  <c r="AF9" i="2"/>
  <c r="AE9" i="2"/>
  <c r="AD9" i="2"/>
  <c r="AC9" i="2"/>
  <c r="AB9" i="2"/>
  <c r="AA9" i="2"/>
  <c r="Z9" i="2"/>
  <c r="Y9" i="2"/>
  <c r="X9" i="2"/>
  <c r="W9" i="2"/>
  <c r="V9" i="2"/>
  <c r="T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F8" i="2"/>
  <c r="AE8" i="2"/>
  <c r="AD8" i="2"/>
  <c r="AC8" i="2"/>
  <c r="AB8" i="2"/>
  <c r="AA8" i="2"/>
  <c r="Z8" i="2"/>
  <c r="Y8" i="2"/>
  <c r="X8" i="2"/>
  <c r="W8" i="2"/>
  <c r="V8" i="2"/>
  <c r="T8" i="2"/>
  <c r="N8" i="2"/>
  <c r="M8" i="2"/>
  <c r="L8" i="2"/>
  <c r="K8" i="2"/>
  <c r="J8" i="2"/>
  <c r="I8" i="2"/>
  <c r="H8" i="2"/>
  <c r="G8" i="2"/>
  <c r="F8" i="2"/>
  <c r="E8" i="2"/>
  <c r="D8" i="2"/>
  <c r="B8" i="2"/>
  <c r="AF7" i="2"/>
  <c r="AE7" i="2"/>
  <c r="AD7" i="2"/>
  <c r="AC7" i="2"/>
  <c r="AB7" i="2"/>
  <c r="AA7" i="2"/>
  <c r="Z7" i="2"/>
  <c r="Y7" i="2"/>
  <c r="X7" i="2"/>
  <c r="W7" i="2"/>
  <c r="V7" i="2"/>
  <c r="T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C6" i="2"/>
  <c r="AB6" i="2"/>
  <c r="AA6" i="2"/>
  <c r="Z6" i="2"/>
  <c r="Y6" i="2"/>
  <c r="X6" i="2"/>
  <c r="W6" i="2"/>
  <c r="V6" i="2"/>
  <c r="T6" i="2"/>
  <c r="K6" i="2"/>
  <c r="J6" i="2"/>
  <c r="I6" i="2"/>
  <c r="H6" i="2"/>
  <c r="G6" i="2"/>
  <c r="F6" i="2"/>
  <c r="E6" i="2"/>
  <c r="D6" i="2"/>
  <c r="C6" i="2"/>
  <c r="B6" i="2"/>
  <c r="Z5" i="2"/>
  <c r="Y5" i="2"/>
  <c r="X5" i="2"/>
  <c r="W5" i="2"/>
  <c r="V5" i="2"/>
  <c r="T5" i="2"/>
  <c r="H5" i="2"/>
  <c r="G5" i="2"/>
  <c r="F5" i="2"/>
  <c r="E5" i="2"/>
  <c r="D5" i="2"/>
  <c r="C5" i="2"/>
  <c r="B5" i="2"/>
  <c r="O28" i="3"/>
  <c r="N28" i="3"/>
  <c r="M28" i="3"/>
  <c r="L28" i="3"/>
  <c r="K28" i="3"/>
  <c r="J28" i="3"/>
  <c r="I28" i="3"/>
  <c r="H28" i="3"/>
  <c r="G28" i="3"/>
  <c r="F28" i="3"/>
  <c r="E28" i="3"/>
  <c r="D28" i="3"/>
  <c r="B28" i="3"/>
  <c r="O27" i="3"/>
  <c r="N27" i="3"/>
  <c r="M27" i="3"/>
  <c r="L27" i="3"/>
  <c r="K27" i="3"/>
  <c r="J27" i="3"/>
  <c r="I27" i="3"/>
  <c r="H27" i="3"/>
  <c r="G27" i="3"/>
  <c r="F27" i="3"/>
  <c r="E27" i="3"/>
  <c r="D27" i="3"/>
  <c r="B27" i="3"/>
  <c r="O26" i="3"/>
  <c r="N26" i="3"/>
  <c r="M26" i="3"/>
  <c r="L26" i="3"/>
  <c r="K26" i="3"/>
  <c r="J26" i="3"/>
  <c r="I26" i="3"/>
  <c r="H26" i="3"/>
  <c r="G26" i="3"/>
  <c r="F26" i="3"/>
  <c r="E26" i="3"/>
  <c r="D26" i="3"/>
  <c r="B26" i="3"/>
  <c r="O25" i="3"/>
  <c r="N25" i="3"/>
  <c r="M25" i="3"/>
  <c r="L25" i="3"/>
  <c r="K25" i="3"/>
  <c r="J25" i="3"/>
  <c r="I25" i="3"/>
  <c r="H25" i="3"/>
  <c r="G25" i="3"/>
  <c r="F25" i="3"/>
  <c r="E25" i="3"/>
  <c r="D25" i="3"/>
  <c r="B25" i="3"/>
  <c r="N24" i="3"/>
  <c r="M24" i="3"/>
  <c r="L24" i="3"/>
  <c r="K24" i="3"/>
  <c r="J24" i="3"/>
  <c r="I24" i="3"/>
  <c r="H24" i="3"/>
  <c r="G24" i="3"/>
  <c r="F24" i="3"/>
  <c r="E24" i="3"/>
  <c r="D24" i="3"/>
  <c r="B24" i="3"/>
  <c r="M23" i="3"/>
  <c r="L23" i="3"/>
  <c r="K23" i="3"/>
  <c r="J23" i="3"/>
  <c r="I23" i="3"/>
  <c r="H23" i="3"/>
  <c r="G23" i="3"/>
  <c r="F23" i="3"/>
  <c r="E23" i="3"/>
  <c r="D23" i="3"/>
  <c r="B23" i="3"/>
  <c r="H22" i="3"/>
  <c r="G22" i="3"/>
  <c r="F22" i="3"/>
  <c r="E22" i="3"/>
  <c r="D22" i="3"/>
  <c r="B22" i="3"/>
  <c r="O17" i="3"/>
  <c r="O16" i="3"/>
  <c r="O15" i="3"/>
  <c r="N15" i="3"/>
  <c r="M15" i="3"/>
  <c r="L15" i="3"/>
  <c r="O14" i="3"/>
  <c r="N14" i="3"/>
  <c r="M14" i="3"/>
  <c r="L14" i="3"/>
  <c r="K14" i="3"/>
  <c r="J14" i="3"/>
  <c r="I14" i="3"/>
  <c r="O13" i="3"/>
  <c r="N13" i="3"/>
  <c r="M13" i="3"/>
  <c r="L13" i="3"/>
  <c r="K13" i="3"/>
  <c r="J13" i="3"/>
  <c r="I13" i="3"/>
  <c r="H13" i="3"/>
  <c r="G13" i="3"/>
  <c r="F13" i="3"/>
  <c r="E13" i="3"/>
  <c r="D13" i="3"/>
  <c r="B13" i="3"/>
  <c r="O12" i="3"/>
  <c r="N12" i="3"/>
  <c r="M12" i="3"/>
  <c r="L12" i="3"/>
  <c r="K12" i="3"/>
  <c r="J12" i="3"/>
  <c r="I12" i="3"/>
  <c r="H12" i="3"/>
  <c r="G12" i="3"/>
  <c r="F12" i="3"/>
  <c r="E12" i="3"/>
  <c r="D12" i="3"/>
  <c r="B12" i="3"/>
  <c r="O11" i="3"/>
  <c r="N11" i="3"/>
  <c r="M11" i="3"/>
  <c r="L11" i="3"/>
  <c r="K11" i="3"/>
  <c r="J11" i="3"/>
  <c r="I11" i="3"/>
  <c r="H11" i="3"/>
  <c r="G11" i="3"/>
  <c r="F11" i="3"/>
  <c r="E11" i="3"/>
  <c r="D11" i="3"/>
  <c r="B11" i="3"/>
  <c r="O10" i="3"/>
  <c r="N10" i="3"/>
  <c r="M10" i="3"/>
  <c r="L10" i="3"/>
  <c r="K10" i="3"/>
  <c r="J10" i="3"/>
  <c r="I10" i="3"/>
  <c r="H10" i="3"/>
  <c r="G10" i="3"/>
  <c r="F10" i="3"/>
  <c r="E10" i="3"/>
  <c r="D10" i="3"/>
  <c r="B10" i="3"/>
  <c r="N9" i="3"/>
  <c r="M9" i="3"/>
  <c r="L9" i="3"/>
  <c r="K9" i="3"/>
  <c r="J9" i="3"/>
  <c r="I9" i="3"/>
  <c r="H9" i="3"/>
  <c r="G9" i="3"/>
  <c r="F9" i="3"/>
  <c r="E9" i="3"/>
  <c r="D9" i="3"/>
  <c r="B9" i="3"/>
  <c r="M8" i="3"/>
  <c r="L8" i="3"/>
  <c r="K8" i="3"/>
  <c r="J8" i="3"/>
  <c r="I8" i="3"/>
  <c r="H8" i="3"/>
  <c r="G8" i="3"/>
  <c r="F8" i="3"/>
  <c r="E8" i="3"/>
  <c r="D8" i="3"/>
  <c r="B8" i="3"/>
  <c r="H7" i="3"/>
  <c r="G7" i="3"/>
  <c r="F7" i="3"/>
  <c r="E7" i="3"/>
  <c r="D7" i="3"/>
  <c r="B7" i="3"/>
  <c r="AH19" i="4"/>
  <c r="AG19" i="4"/>
  <c r="AF19" i="4"/>
  <c r="AE19" i="4"/>
  <c r="AD19" i="4"/>
  <c r="AC19" i="4"/>
  <c r="AB19" i="4"/>
  <c r="AA19" i="4"/>
  <c r="Z19" i="4"/>
  <c r="Y19" i="4"/>
  <c r="X19" i="4"/>
  <c r="W19" i="4"/>
  <c r="U19" i="4"/>
  <c r="AH18" i="4"/>
  <c r="AG18" i="4"/>
  <c r="AF18" i="4"/>
  <c r="AE18" i="4"/>
  <c r="AD18" i="4"/>
  <c r="AC18" i="4"/>
  <c r="AB18" i="4"/>
  <c r="AA18" i="4"/>
  <c r="Z18" i="4"/>
  <c r="Y18" i="4"/>
  <c r="X18" i="4"/>
  <c r="W18" i="4"/>
  <c r="U18" i="4"/>
  <c r="AH17" i="4"/>
  <c r="AG17" i="4"/>
  <c r="AF17" i="4"/>
  <c r="AE17" i="4"/>
  <c r="AD17" i="4"/>
  <c r="AC17" i="4"/>
  <c r="AB17" i="4"/>
  <c r="AA17" i="4"/>
  <c r="Z17" i="4"/>
  <c r="Y17" i="4"/>
  <c r="X17" i="4"/>
  <c r="W17" i="4"/>
  <c r="U17" i="4"/>
  <c r="AH16" i="4"/>
  <c r="AG16" i="4"/>
  <c r="AF16" i="4"/>
  <c r="AE16" i="4"/>
  <c r="AD16" i="4"/>
  <c r="AC16" i="4"/>
  <c r="AB16" i="4"/>
  <c r="AA16" i="4"/>
  <c r="Z16" i="4"/>
  <c r="Y16" i="4"/>
  <c r="X16" i="4"/>
  <c r="W16" i="4"/>
  <c r="U16" i="4"/>
  <c r="AH15" i="4"/>
  <c r="AG15" i="4"/>
  <c r="AF15" i="4"/>
  <c r="AE15" i="4"/>
  <c r="AD15" i="4"/>
  <c r="AC15" i="4"/>
  <c r="AB15" i="4"/>
  <c r="AA15" i="4"/>
  <c r="Z15" i="4"/>
  <c r="Y15" i="4"/>
  <c r="X15" i="4"/>
  <c r="W15" i="4"/>
  <c r="U15" i="4"/>
  <c r="AH14" i="4"/>
  <c r="AG14" i="4"/>
  <c r="AF14" i="4"/>
  <c r="AE14" i="4"/>
  <c r="AD14" i="4"/>
  <c r="AC14" i="4"/>
  <c r="AB14" i="4"/>
  <c r="AA14" i="4"/>
  <c r="Z14" i="4"/>
  <c r="Y14" i="4"/>
  <c r="X14" i="4"/>
  <c r="W14" i="4"/>
  <c r="U14" i="4"/>
  <c r="AH13" i="4"/>
  <c r="AG13" i="4"/>
  <c r="AF13" i="4"/>
  <c r="AE13" i="4"/>
  <c r="AD13" i="4"/>
  <c r="AC13" i="4"/>
  <c r="AB13" i="4"/>
  <c r="AA13" i="4"/>
  <c r="Z13" i="4"/>
  <c r="Y13" i="4"/>
  <c r="X13" i="4"/>
  <c r="W13" i="4"/>
  <c r="U13" i="4"/>
  <c r="AH12" i="4"/>
  <c r="AG12" i="4"/>
  <c r="AF12" i="4"/>
  <c r="AE12" i="4"/>
  <c r="AD12" i="4"/>
  <c r="AC12" i="4"/>
  <c r="AB12" i="4"/>
  <c r="AA12" i="4"/>
  <c r="Z12" i="4"/>
  <c r="Y12" i="4"/>
  <c r="X12" i="4"/>
  <c r="W12" i="4"/>
  <c r="U12" i="4"/>
  <c r="AH11" i="4"/>
  <c r="AG11" i="4"/>
  <c r="AF11" i="4"/>
  <c r="AE11" i="4"/>
  <c r="AD11" i="4"/>
  <c r="AC11" i="4"/>
  <c r="AB11" i="4"/>
  <c r="AA11" i="4"/>
  <c r="Z11" i="4"/>
  <c r="Y11" i="4"/>
  <c r="X11" i="4"/>
  <c r="W11" i="4"/>
  <c r="U11" i="4"/>
  <c r="AH10" i="4"/>
  <c r="AG10" i="4"/>
  <c r="AF10" i="4"/>
  <c r="AE10" i="4"/>
  <c r="AD10" i="4"/>
  <c r="AC10" i="4"/>
  <c r="AB10" i="4"/>
  <c r="AA10" i="4"/>
  <c r="Z10" i="4"/>
  <c r="Y10" i="4"/>
  <c r="X10" i="4"/>
  <c r="W10" i="4"/>
  <c r="U10" i="4"/>
  <c r="AH9" i="4"/>
  <c r="AG9" i="4"/>
  <c r="AF9" i="4"/>
  <c r="AE9" i="4"/>
  <c r="AD9" i="4"/>
  <c r="AC9" i="4"/>
  <c r="AB9" i="4"/>
  <c r="AA9" i="4"/>
  <c r="Z9" i="4"/>
  <c r="Y9" i="4"/>
  <c r="X9" i="4"/>
  <c r="W9" i="4"/>
  <c r="U9" i="4"/>
  <c r="AH8" i="4"/>
  <c r="AG8" i="4"/>
  <c r="AF8" i="4"/>
  <c r="AE8" i="4"/>
  <c r="AD8" i="4"/>
  <c r="AC8" i="4"/>
  <c r="AB8" i="4"/>
  <c r="AA8" i="4"/>
  <c r="Z8" i="4"/>
  <c r="Y8" i="4"/>
  <c r="X8" i="4"/>
  <c r="W8" i="4"/>
  <c r="U8" i="4"/>
  <c r="O29" i="5"/>
  <c r="N29" i="5"/>
  <c r="M29" i="5"/>
  <c r="L29" i="5"/>
  <c r="K29" i="5"/>
  <c r="J29" i="5"/>
  <c r="I29" i="5"/>
  <c r="H29" i="5"/>
  <c r="G29" i="5"/>
  <c r="E29" i="5"/>
  <c r="D29" i="5"/>
  <c r="B29" i="5"/>
  <c r="O28" i="5"/>
  <c r="N28" i="5"/>
  <c r="M28" i="5"/>
  <c r="L28" i="5"/>
  <c r="K28" i="5"/>
  <c r="J28" i="5"/>
  <c r="I28" i="5"/>
  <c r="H28" i="5"/>
  <c r="G28" i="5"/>
  <c r="F28" i="5"/>
  <c r="E28" i="5"/>
  <c r="D28" i="5"/>
  <c r="B28" i="5"/>
  <c r="M6" i="5"/>
  <c r="L6" i="5"/>
  <c r="K6" i="5"/>
  <c r="J6" i="5"/>
  <c r="I6" i="5"/>
  <c r="H6" i="5"/>
  <c r="G6" i="5"/>
  <c r="F6" i="5"/>
  <c r="E6" i="5"/>
  <c r="D6" i="5"/>
  <c r="B6" i="5"/>
  <c r="M23" i="6"/>
  <c r="L23" i="6"/>
  <c r="K23" i="6"/>
  <c r="J23" i="6"/>
  <c r="H23" i="6"/>
  <c r="G23" i="6"/>
  <c r="F23" i="6"/>
  <c r="E23" i="6"/>
  <c r="D23" i="6"/>
  <c r="B23" i="6"/>
  <c r="M6" i="6"/>
  <c r="L6" i="6"/>
  <c r="K6" i="6"/>
  <c r="J6" i="6"/>
  <c r="I6" i="6"/>
  <c r="H6" i="6"/>
  <c r="G6" i="6"/>
  <c r="F6" i="6"/>
  <c r="E6" i="6"/>
  <c r="D6" i="6"/>
  <c r="B6" i="6"/>
  <c r="F29" i="5" l="1"/>
  <c r="F4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H24" i="6" l="1"/>
  <c r="J24" i="6"/>
  <c r="L24" i="6"/>
  <c r="I24" i="6"/>
  <c r="K24" i="6"/>
  <c r="M24" i="6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AI23" i="4" l="1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AE4" i="4"/>
  <c r="AB5" i="4"/>
  <c r="AG6" i="4"/>
  <c r="AA6" i="4" l="1"/>
  <c r="AC4" i="4"/>
  <c r="AE6" i="4"/>
  <c r="AG4" i="4"/>
  <c r="AF5" i="4"/>
  <c r="AC6" i="4"/>
  <c r="AA4" i="4"/>
  <c r="AB6" i="4"/>
  <c r="AD6" i="4"/>
  <c r="AF6" i="4"/>
  <c r="AH6" i="4"/>
  <c r="AB4" i="4"/>
  <c r="AD4" i="4"/>
  <c r="AF4" i="4"/>
  <c r="AH4" i="4"/>
  <c r="AD5" i="4"/>
  <c r="AH5" i="4"/>
  <c r="AC29" i="4"/>
  <c r="AG29" i="4"/>
  <c r="AC31" i="4"/>
  <c r="AG31" i="4"/>
  <c r="AC33" i="4"/>
  <c r="AG33" i="4"/>
  <c r="AA5" i="4"/>
  <c r="AC28" i="4"/>
  <c r="AC5" i="4"/>
  <c r="AE5" i="4"/>
  <c r="AG28" i="4"/>
  <c r="AG5" i="4"/>
  <c r="AC30" i="4"/>
  <c r="AG30" i="4"/>
  <c r="AC32" i="4"/>
  <c r="AG32" i="4"/>
  <c r="AB28" i="4"/>
  <c r="AD28" i="4"/>
  <c r="AF28" i="4"/>
  <c r="AH28" i="4"/>
  <c r="AB29" i="4"/>
  <c r="AD29" i="4"/>
  <c r="AF29" i="4"/>
  <c r="AH29" i="4"/>
  <c r="AB30" i="4"/>
  <c r="AD30" i="4"/>
  <c r="AF30" i="4"/>
  <c r="AH30" i="4"/>
  <c r="AB31" i="4"/>
  <c r="AD31" i="4"/>
  <c r="AF31" i="4"/>
  <c r="AH31" i="4"/>
  <c r="AB32" i="4"/>
  <c r="AD32" i="4"/>
  <c r="AF32" i="4"/>
  <c r="AH32" i="4"/>
  <c r="AB33" i="4"/>
  <c r="AD33" i="4"/>
  <c r="AF33" i="4"/>
  <c r="AH33" i="4"/>
  <c r="AB34" i="4"/>
  <c r="AD34" i="4"/>
  <c r="AF34" i="4"/>
  <c r="AH34" i="4"/>
  <c r="AB35" i="4"/>
  <c r="AD35" i="4"/>
  <c r="AF35" i="4"/>
  <c r="AH35" i="4"/>
  <c r="AB36" i="4"/>
  <c r="AD36" i="4"/>
  <c r="AF36" i="4"/>
  <c r="AH36" i="4"/>
  <c r="AB37" i="4"/>
  <c r="AD37" i="4"/>
  <c r="AF37" i="4"/>
  <c r="AH37" i="4"/>
  <c r="AB38" i="4"/>
  <c r="AD38" i="4"/>
  <c r="AF38" i="4"/>
  <c r="AH38" i="4"/>
  <c r="AB39" i="4"/>
  <c r="AD39" i="4"/>
  <c r="AF39" i="4"/>
  <c r="AH39" i="4"/>
  <c r="AA33" i="4"/>
  <c r="AA32" i="4"/>
  <c r="AA31" i="4"/>
  <c r="AA30" i="4"/>
  <c r="AA29" i="4"/>
  <c r="AA28" i="4"/>
  <c r="AE33" i="4"/>
  <c r="AE32" i="4"/>
  <c r="AE31" i="4"/>
  <c r="AE30" i="4"/>
  <c r="AE29" i="4"/>
  <c r="AE28" i="4"/>
  <c r="AA34" i="4"/>
  <c r="AC34" i="4"/>
  <c r="AE34" i="4"/>
  <c r="AG34" i="4"/>
  <c r="AA35" i="4"/>
  <c r="AC35" i="4"/>
  <c r="AE35" i="4"/>
  <c r="AG35" i="4"/>
  <c r="AA36" i="4"/>
  <c r="AC36" i="4"/>
  <c r="AE36" i="4"/>
  <c r="AG36" i="4"/>
  <c r="AA37" i="4"/>
  <c r="AC37" i="4"/>
  <c r="AE37" i="4"/>
  <c r="AG37" i="4"/>
  <c r="AA38" i="4"/>
  <c r="AC38" i="4"/>
  <c r="AE38" i="4"/>
  <c r="AG38" i="4"/>
  <c r="AA39" i="4"/>
  <c r="AC39" i="4"/>
  <c r="AE39" i="4"/>
  <c r="AG39" i="4"/>
  <c r="H18" i="3" l="1"/>
  <c r="I18" i="3"/>
  <c r="K18" i="3"/>
  <c r="M18" i="3"/>
  <c r="O18" i="3"/>
  <c r="J29" i="3"/>
  <c r="L29" i="3"/>
  <c r="N29" i="3"/>
  <c r="J18" i="3"/>
  <c r="L18" i="3"/>
  <c r="N18" i="3"/>
  <c r="H29" i="3"/>
  <c r="I29" i="3"/>
  <c r="K29" i="3"/>
  <c r="M29" i="3"/>
  <c r="O29" i="3"/>
  <c r="AG24" i="4"/>
  <c r="AE25" i="4"/>
  <c r="AE26" i="4"/>
  <c r="AE24" i="4"/>
  <c r="AA25" i="4"/>
  <c r="AA26" i="4"/>
  <c r="AA24" i="4"/>
  <c r="AH26" i="4"/>
  <c r="AH25" i="4"/>
  <c r="AH24" i="4"/>
  <c r="AF26" i="4"/>
  <c r="AF25" i="4"/>
  <c r="AF24" i="4"/>
  <c r="AD26" i="4"/>
  <c r="AD25" i="4"/>
  <c r="AD24" i="4"/>
  <c r="AB26" i="4"/>
  <c r="AB25" i="4"/>
  <c r="AB24" i="4"/>
  <c r="AG25" i="4"/>
  <c r="AC25" i="4"/>
  <c r="AC24" i="4"/>
  <c r="AG26" i="4"/>
  <c r="AC26" i="4"/>
  <c r="AF43" i="2"/>
  <c r="AD43" i="2"/>
  <c r="N4" i="6"/>
  <c r="M4" i="6"/>
  <c r="L4" i="6"/>
  <c r="K4" i="6"/>
  <c r="J4" i="6"/>
  <c r="I4" i="6"/>
  <c r="H4" i="6"/>
  <c r="N29" i="2"/>
  <c r="L29" i="2"/>
  <c r="AF29" i="2"/>
  <c r="AD29" i="2"/>
  <c r="K29" i="2"/>
  <c r="J29" i="2"/>
  <c r="I29" i="2"/>
  <c r="N5" i="6"/>
  <c r="M5" i="6"/>
  <c r="L5" i="6"/>
  <c r="K5" i="6"/>
  <c r="J5" i="6"/>
  <c r="I5" i="6"/>
  <c r="H5" i="6"/>
  <c r="O15" i="2"/>
  <c r="AF15" i="2"/>
  <c r="AE15" i="2"/>
  <c r="AD15" i="2"/>
  <c r="N15" i="2"/>
  <c r="M15" i="2"/>
  <c r="L15" i="2"/>
  <c r="I7" i="1" l="1"/>
  <c r="I12" i="1"/>
  <c r="K12" i="1"/>
  <c r="M12" i="1"/>
  <c r="O12" i="1"/>
  <c r="P9" i="1"/>
  <c r="N11" i="1"/>
  <c r="I22" i="1"/>
  <c r="K22" i="1"/>
  <c r="M22" i="1"/>
  <c r="O22" i="1"/>
  <c r="M43" i="2"/>
  <c r="O43" i="2"/>
  <c r="E5" i="1"/>
  <c r="J6" i="1"/>
  <c r="I19" i="1"/>
  <c r="N7" i="1"/>
  <c r="L12" i="1"/>
  <c r="N12" i="1"/>
  <c r="I6" i="1"/>
  <c r="K6" i="1"/>
  <c r="M10" i="1"/>
  <c r="J12" i="1"/>
  <c r="J7" i="1"/>
  <c r="H19" i="1"/>
  <c r="H6" i="1"/>
  <c r="H12" i="1"/>
  <c r="H15" i="2"/>
  <c r="H43" i="2"/>
  <c r="J43" i="2"/>
  <c r="L43" i="2"/>
  <c r="N43" i="2"/>
  <c r="AE43" i="2"/>
  <c r="AG43" i="2"/>
  <c r="M8" i="1"/>
  <c r="I9" i="1"/>
  <c r="K9" i="1"/>
  <c r="M9" i="1"/>
  <c r="O9" i="1"/>
  <c r="H13" i="1"/>
  <c r="J13" i="1"/>
  <c r="L13" i="1"/>
  <c r="N13" i="1"/>
  <c r="I13" i="1"/>
  <c r="I26" i="1"/>
  <c r="K26" i="1"/>
  <c r="M26" i="1"/>
  <c r="O26" i="1"/>
  <c r="I8" i="1"/>
  <c r="K8" i="1"/>
  <c r="I10" i="1"/>
  <c r="N20" i="1"/>
  <c r="H23" i="1"/>
  <c r="J23" i="1"/>
  <c r="L23" i="1"/>
  <c r="N23" i="1"/>
  <c r="H24" i="1"/>
  <c r="J24" i="1"/>
  <c r="L24" i="1"/>
  <c r="N24" i="1"/>
  <c r="AG15" i="2"/>
  <c r="O5" i="6"/>
  <c r="AG29" i="2"/>
  <c r="O4" i="6"/>
  <c r="H9" i="1"/>
  <c r="L9" i="1"/>
  <c r="H11" i="1"/>
  <c r="J11" i="1"/>
  <c r="L11" i="1"/>
  <c r="E18" i="1"/>
  <c r="I23" i="1"/>
  <c r="O25" i="1"/>
  <c r="K13" i="1"/>
  <c r="M13" i="1"/>
  <c r="M21" i="1"/>
  <c r="H22" i="1"/>
  <c r="J22" i="1"/>
  <c r="L22" i="1"/>
  <c r="N22" i="1"/>
  <c r="B5" i="1"/>
  <c r="D5" i="1"/>
  <c r="F5" i="1"/>
  <c r="H5" i="1"/>
  <c r="K7" i="1"/>
  <c r="M7" i="1"/>
  <c r="H14" i="1"/>
  <c r="L14" i="1"/>
  <c r="I21" i="1"/>
  <c r="K21" i="1"/>
  <c r="I25" i="1"/>
  <c r="K25" i="1"/>
  <c r="M25" i="1"/>
  <c r="H27" i="1"/>
  <c r="J27" i="1"/>
  <c r="L27" i="1"/>
  <c r="N27" i="1"/>
  <c r="AB15" i="2"/>
  <c r="AB29" i="2"/>
  <c r="AB43" i="2"/>
  <c r="H7" i="1"/>
  <c r="L7" i="1"/>
  <c r="O13" i="1"/>
  <c r="K23" i="1"/>
  <c r="M23" i="1"/>
  <c r="O23" i="1"/>
  <c r="H26" i="1"/>
  <c r="J26" i="1"/>
  <c r="L26" i="1"/>
  <c r="N26" i="1"/>
  <c r="C5" i="1"/>
  <c r="G5" i="1"/>
  <c r="J9" i="1"/>
  <c r="N9" i="1"/>
  <c r="H10" i="1"/>
  <c r="J10" i="1"/>
  <c r="L10" i="1"/>
  <c r="N10" i="1"/>
  <c r="K10" i="1"/>
  <c r="O10" i="1"/>
  <c r="I20" i="1"/>
  <c r="K20" i="1"/>
  <c r="M20" i="1"/>
  <c r="H20" i="1"/>
  <c r="J20" i="1"/>
  <c r="L20" i="1"/>
  <c r="I27" i="1"/>
  <c r="K27" i="1"/>
  <c r="M27" i="1"/>
  <c r="O27" i="1"/>
  <c r="AC15" i="2"/>
  <c r="H29" i="2"/>
  <c r="H8" i="1"/>
  <c r="J8" i="1"/>
  <c r="L8" i="1"/>
  <c r="N8" i="1"/>
  <c r="I11" i="1"/>
  <c r="K11" i="1"/>
  <c r="M11" i="1"/>
  <c r="O11" i="1"/>
  <c r="I14" i="1"/>
  <c r="K14" i="1"/>
  <c r="M14" i="1"/>
  <c r="O14" i="1"/>
  <c r="J14" i="1"/>
  <c r="N14" i="1"/>
  <c r="B18" i="1"/>
  <c r="D18" i="1"/>
  <c r="F18" i="1"/>
  <c r="H18" i="1"/>
  <c r="C18" i="1"/>
  <c r="H21" i="1"/>
  <c r="J21" i="1"/>
  <c r="L21" i="1"/>
  <c r="N21" i="1"/>
  <c r="I24" i="1"/>
  <c r="K24" i="1"/>
  <c r="M24" i="1"/>
  <c r="O24" i="1"/>
  <c r="H25" i="1"/>
  <c r="J25" i="1"/>
  <c r="L25" i="1"/>
  <c r="N25" i="1"/>
  <c r="Z15" i="2"/>
  <c r="AA15" i="2"/>
  <c r="I15" i="2"/>
  <c r="K15" i="2"/>
  <c r="Z29" i="2"/>
  <c r="AA29" i="2"/>
  <c r="AC29" i="2"/>
  <c r="Z43" i="2"/>
  <c r="AA43" i="2"/>
  <c r="AC43" i="2"/>
  <c r="I43" i="2"/>
  <c r="K43" i="2"/>
  <c r="J15" i="2"/>
  <c r="AE29" i="2"/>
  <c r="M29" i="2"/>
  <c r="O29" i="2"/>
  <c r="Q33" i="2"/>
  <c r="AF13" i="3" l="1"/>
  <c r="AF28" i="3" l="1"/>
  <c r="AF27" i="3"/>
  <c r="AF26" i="3"/>
  <c r="AF25" i="3"/>
  <c r="AF29" i="3" l="1"/>
  <c r="AF10" i="3"/>
  <c r="AF12" i="3"/>
  <c r="AF11" i="3"/>
  <c r="AF18" i="3" l="1"/>
  <c r="O5" i="5"/>
  <c r="O4" i="5"/>
  <c r="AC9" i="3" l="1"/>
  <c r="AE9" i="3"/>
  <c r="AC23" i="3"/>
  <c r="AC24" i="3"/>
  <c r="AE24" i="3"/>
  <c r="AC25" i="3"/>
  <c r="AE25" i="3"/>
  <c r="AC26" i="3"/>
  <c r="AE26" i="3"/>
  <c r="AC27" i="3"/>
  <c r="AE27" i="3"/>
  <c r="AC28" i="3"/>
  <c r="AE28" i="3"/>
  <c r="AE29" i="3" l="1"/>
  <c r="AC29" i="3"/>
  <c r="AC13" i="3"/>
  <c r="AC12" i="3"/>
  <c r="AC11" i="3"/>
  <c r="AC10" i="3"/>
  <c r="AE13" i="3"/>
  <c r="AE12" i="3"/>
  <c r="AE11" i="3"/>
  <c r="AE10" i="3"/>
  <c r="AC8" i="3"/>
  <c r="AC18" i="3" l="1"/>
  <c r="AE18" i="3"/>
  <c r="N5" i="5"/>
  <c r="N4" i="5" l="1"/>
  <c r="L5" i="5" l="1"/>
  <c r="L4" i="5" l="1"/>
  <c r="M5" i="5" l="1"/>
  <c r="M4" i="5" l="1"/>
  <c r="AD23" i="3" l="1"/>
  <c r="AD8" i="3" l="1"/>
  <c r="AD9" i="3" l="1"/>
  <c r="AD24" i="3" l="1"/>
  <c r="AD10" i="3" l="1"/>
  <c r="AD25" i="3"/>
  <c r="AD26" i="3" l="1"/>
  <c r="AD11" i="3" l="1"/>
  <c r="AD27" i="3" l="1"/>
  <c r="AD12" i="3" l="1"/>
  <c r="AD13" i="3" l="1"/>
  <c r="AD18" i="3" s="1"/>
  <c r="AD28" i="3"/>
  <c r="AD29" i="3" s="1"/>
  <c r="H5" i="5" l="1"/>
  <c r="Y22" i="3" l="1"/>
  <c r="Y7" i="3" l="1"/>
  <c r="H4" i="5" l="1"/>
  <c r="Y23" i="3" l="1"/>
  <c r="Y8" i="3" l="1"/>
  <c r="Y9" i="3" l="1"/>
  <c r="Y24" i="3"/>
  <c r="Y25" i="3" l="1"/>
  <c r="Y10" i="3" l="1"/>
  <c r="Y26" i="3" l="1"/>
  <c r="Y11" i="3" l="1"/>
  <c r="Y27" i="3"/>
  <c r="Y12" i="3" l="1"/>
  <c r="Y13" i="3" l="1"/>
  <c r="Y18" i="3" s="1"/>
  <c r="Y28" i="3"/>
  <c r="Y29" i="3" s="1"/>
  <c r="K5" i="5" l="1"/>
  <c r="K4" i="5" l="1"/>
  <c r="AB23" i="3" l="1"/>
  <c r="AB8" i="3" l="1"/>
  <c r="AB24" i="3"/>
  <c r="AB9" i="3"/>
  <c r="AB25" i="3" l="1"/>
  <c r="AB10" i="3" l="1"/>
  <c r="AB26" i="3"/>
  <c r="AB11" i="3" l="1"/>
  <c r="AB27" i="3"/>
  <c r="AB13" i="3" l="1"/>
  <c r="AB12" i="3"/>
  <c r="AB28" i="3"/>
  <c r="AB29" i="3" s="1"/>
  <c r="AB18" i="3" l="1"/>
  <c r="J5" i="5"/>
  <c r="J4" i="5" l="1"/>
  <c r="AA23" i="3" l="1"/>
  <c r="AA8" i="3" l="1"/>
  <c r="AA24" i="3"/>
  <c r="AA9" i="3"/>
  <c r="AA25" i="3" l="1"/>
  <c r="AA10" i="3" l="1"/>
  <c r="AA26" i="3"/>
  <c r="AA11" i="3" l="1"/>
  <c r="AA27" i="3"/>
  <c r="AA13" i="3" l="1"/>
  <c r="AA12" i="3"/>
  <c r="AA28" i="3"/>
  <c r="AA29" i="3" s="1"/>
  <c r="AA18" i="3" l="1"/>
  <c r="I5" i="5"/>
  <c r="I4" i="5" l="1"/>
  <c r="Z23" i="3" l="1"/>
  <c r="Z8" i="3" l="1"/>
  <c r="Z24" i="3"/>
  <c r="Z9" i="3"/>
  <c r="Z25" i="3" l="1"/>
  <c r="Z10" i="3" l="1"/>
  <c r="Z26" i="3"/>
  <c r="Z11" i="3" l="1"/>
  <c r="Z27" i="3"/>
  <c r="Z12" i="3" l="1"/>
  <c r="Z13" i="3"/>
  <c r="Z28" i="3"/>
  <c r="Z29" i="3" s="1"/>
  <c r="Z18" i="3" l="1"/>
  <c r="G18" i="1" l="1"/>
  <c r="G6" i="1" l="1"/>
  <c r="Q36" i="2"/>
  <c r="Q35" i="2"/>
  <c r="Q34" i="2"/>
  <c r="G8" i="1"/>
  <c r="Q5" i="2"/>
  <c r="G9" i="1" l="1"/>
  <c r="G19" i="1"/>
  <c r="G11" i="1" l="1"/>
  <c r="G7" i="1"/>
  <c r="G12" i="1" l="1"/>
  <c r="G10" i="1"/>
  <c r="G13" i="1" l="1"/>
  <c r="G20" i="1"/>
  <c r="G14" i="1" l="1"/>
  <c r="G24" i="6" l="1"/>
  <c r="G21" i="1"/>
  <c r="G22" i="1" l="1"/>
  <c r="Q19" i="2" l="1"/>
  <c r="G23" i="1"/>
  <c r="Z37" i="4" l="1"/>
  <c r="Z39" i="4"/>
  <c r="Z38" i="4"/>
  <c r="Z33" i="4" l="1"/>
  <c r="Z32" i="4"/>
  <c r="Z31" i="4"/>
  <c r="Z36" i="4"/>
  <c r="Z34" i="4"/>
  <c r="Z35" i="4"/>
  <c r="Z30" i="4"/>
  <c r="Z29" i="4"/>
  <c r="G24" i="1"/>
  <c r="X7" i="3" l="1"/>
  <c r="X22" i="3"/>
  <c r="Q37" i="2" l="1"/>
  <c r="Z6" i="4"/>
  <c r="Z28" i="4"/>
  <c r="Z4" i="4"/>
  <c r="Z5" i="4"/>
  <c r="G25" i="1"/>
  <c r="Z25" i="4" l="1"/>
  <c r="Z26" i="4"/>
  <c r="Z24" i="4"/>
  <c r="G5" i="6" l="1"/>
  <c r="G5" i="5"/>
  <c r="G26" i="1" l="1"/>
  <c r="G4" i="6"/>
  <c r="G4" i="5" l="1"/>
  <c r="G27" i="1" l="1"/>
  <c r="X23" i="3" l="1"/>
  <c r="X8" i="3"/>
  <c r="X24" i="3" l="1"/>
  <c r="X9" i="3"/>
  <c r="X25" i="3" l="1"/>
  <c r="X10" i="3" l="1"/>
  <c r="X26" i="3"/>
  <c r="G43" i="2" l="1"/>
  <c r="Y43" i="2"/>
  <c r="X11" i="3" l="1"/>
  <c r="Y15" i="2"/>
  <c r="G15" i="2" l="1"/>
  <c r="Y29" i="2" l="1"/>
  <c r="X27" i="3" l="1"/>
  <c r="G29" i="2"/>
  <c r="X12" i="3" l="1"/>
  <c r="X28" i="3" l="1"/>
  <c r="G29" i="3"/>
  <c r="X29" i="3" l="1"/>
  <c r="X13" i="3"/>
  <c r="G18" i="3"/>
  <c r="X18" i="3" l="1"/>
  <c r="F8" i="1" l="1"/>
  <c r="F6" i="1"/>
  <c r="F9" i="1" l="1"/>
  <c r="F7" i="1"/>
  <c r="F10" i="1" l="1"/>
  <c r="F11" i="1" l="1"/>
  <c r="F12" i="1" l="1"/>
  <c r="F13" i="1" l="1"/>
  <c r="F14" i="1" l="1"/>
  <c r="F19" i="1" l="1"/>
  <c r="F24" i="6" l="1"/>
  <c r="F20" i="1" l="1"/>
  <c r="F21" i="1" l="1"/>
  <c r="F22" i="1" l="1"/>
  <c r="F23" i="1" l="1"/>
  <c r="Y37" i="4" l="1"/>
  <c r="Y38" i="4"/>
  <c r="Y31" i="4" l="1"/>
  <c r="F24" i="1"/>
  <c r="Y34" i="4" l="1"/>
  <c r="Y32" i="4"/>
  <c r="Y29" i="4"/>
  <c r="Y36" i="4"/>
  <c r="Y30" i="4"/>
  <c r="Y35" i="4"/>
  <c r="Y33" i="4"/>
  <c r="Y39" i="4" l="1"/>
  <c r="Y4" i="4"/>
  <c r="Y6" i="4"/>
  <c r="Y28" i="4"/>
  <c r="Y5" i="4"/>
  <c r="F25" i="1" l="1"/>
  <c r="Y25" i="4"/>
  <c r="Y26" i="4"/>
  <c r="Y24" i="4"/>
  <c r="W7" i="3" l="1"/>
  <c r="W22" i="3"/>
  <c r="F5" i="5" l="1"/>
  <c r="F5" i="6"/>
  <c r="F26" i="1"/>
  <c r="F4" i="6" l="1"/>
  <c r="F4" i="5"/>
  <c r="F27" i="1" l="1"/>
  <c r="W8" i="3" l="1"/>
  <c r="W23" i="3"/>
  <c r="W9" i="3" l="1"/>
  <c r="W24" i="3"/>
  <c r="F43" i="2" l="1"/>
  <c r="W25" i="3" l="1"/>
  <c r="W10" i="3"/>
  <c r="X43" i="2"/>
  <c r="F15" i="2" l="1"/>
  <c r="X15" i="2"/>
  <c r="W11" i="3" l="1"/>
  <c r="W26" i="3" l="1"/>
  <c r="X29" i="2"/>
  <c r="F29" i="2"/>
  <c r="W27" i="3" l="1"/>
  <c r="W12" i="3"/>
  <c r="W28" i="3"/>
  <c r="W29" i="3" l="1"/>
  <c r="F29" i="3"/>
  <c r="W13" i="3" l="1"/>
  <c r="W18" i="3" s="1"/>
  <c r="F18" i="3"/>
  <c r="E6" i="1" l="1"/>
  <c r="E7" i="1"/>
  <c r="E8" i="1"/>
  <c r="E9" i="1" l="1"/>
  <c r="E10" i="1" l="1"/>
  <c r="E11" i="1" l="1"/>
  <c r="E12" i="1" l="1"/>
  <c r="E13" i="1" l="1"/>
  <c r="E14" i="1" l="1"/>
  <c r="E19" i="1" l="1"/>
  <c r="E24" i="6" l="1"/>
  <c r="E20" i="1" l="1"/>
  <c r="E21" i="1" l="1"/>
  <c r="E22" i="1" l="1"/>
  <c r="E23" i="1" l="1"/>
  <c r="X39" i="4" l="1"/>
  <c r="X38" i="4"/>
  <c r="X37" i="4"/>
  <c r="E24" i="1"/>
  <c r="X29" i="4" l="1"/>
  <c r="X32" i="4" l="1"/>
  <c r="X35" i="4"/>
  <c r="X36" i="4"/>
  <c r="X31" i="4"/>
  <c r="X34" i="4"/>
  <c r="X30" i="4"/>
  <c r="X33" i="4"/>
  <c r="E25" i="1" l="1"/>
  <c r="V7" i="3" l="1"/>
  <c r="X28" i="4" l="1"/>
  <c r="X5" i="4"/>
  <c r="X6" i="4"/>
  <c r="X4" i="4"/>
  <c r="E26" i="1"/>
  <c r="V22" i="3"/>
  <c r="X25" i="4" l="1"/>
  <c r="X24" i="4"/>
  <c r="X26" i="4"/>
  <c r="E5" i="5"/>
  <c r="E5" i="6" l="1"/>
  <c r="E27" i="1"/>
  <c r="E4" i="5" l="1"/>
  <c r="E4" i="6"/>
  <c r="V23" i="3" l="1"/>
  <c r="V8" i="3"/>
  <c r="V24" i="3" l="1"/>
  <c r="V9" i="3"/>
  <c r="E43" i="2" l="1"/>
  <c r="V25" i="3" l="1"/>
  <c r="V10" i="3"/>
  <c r="W43" i="2"/>
  <c r="E15" i="2" l="1"/>
  <c r="W15" i="2"/>
  <c r="V26" i="3" l="1"/>
  <c r="V11" i="3"/>
  <c r="V12" i="3"/>
  <c r="V27" i="3"/>
  <c r="E29" i="2" l="1"/>
  <c r="W29" i="2"/>
  <c r="V28" i="3" l="1"/>
  <c r="V29" i="3" s="1"/>
  <c r="E29" i="3"/>
  <c r="V13" i="3"/>
  <c r="V18" i="3" s="1"/>
  <c r="E18" i="3"/>
  <c r="D6" i="1" l="1"/>
  <c r="D8" i="1"/>
  <c r="D7" i="1" l="1"/>
  <c r="D9" i="1"/>
  <c r="D10" i="1" l="1"/>
  <c r="D11" i="1" l="1"/>
  <c r="D12" i="1" l="1"/>
  <c r="D13" i="1" l="1"/>
  <c r="D14" i="1"/>
  <c r="D19" i="1" l="1"/>
  <c r="D20" i="1" l="1"/>
  <c r="D24" i="6" l="1"/>
  <c r="D21" i="1" l="1"/>
  <c r="D22" i="1" l="1"/>
  <c r="D23" i="1" l="1"/>
  <c r="W38" i="4" l="1"/>
  <c r="W39" i="4"/>
  <c r="W37" i="4"/>
  <c r="W31" i="4" l="1"/>
  <c r="D24" i="1"/>
  <c r="W32" i="4" l="1"/>
  <c r="W36" i="4"/>
  <c r="W30" i="4"/>
  <c r="W29" i="4"/>
  <c r="W34" i="4"/>
  <c r="W35" i="4"/>
  <c r="W33" i="4"/>
  <c r="D25" i="1"/>
  <c r="U22" i="3" l="1"/>
  <c r="U7" i="3"/>
  <c r="W6" i="4" l="1"/>
  <c r="W4" i="4"/>
  <c r="W5" i="4"/>
  <c r="W28" i="4"/>
  <c r="D26" i="1"/>
  <c r="W25" i="4" l="1"/>
  <c r="W26" i="4"/>
  <c r="W24" i="4"/>
  <c r="D5" i="6" l="1"/>
  <c r="D5" i="5"/>
  <c r="D27" i="1" l="1"/>
  <c r="D4" i="5"/>
  <c r="D4" i="6"/>
  <c r="U8" i="3" l="1"/>
  <c r="U23" i="3"/>
  <c r="U24" i="3"/>
  <c r="U9" i="3"/>
  <c r="U10" i="3" l="1"/>
  <c r="U25" i="3"/>
  <c r="U11" i="3"/>
  <c r="U26" i="3"/>
  <c r="D43" i="2" l="1"/>
  <c r="V43" i="2" l="1"/>
  <c r="D15" i="2" l="1"/>
  <c r="V15" i="2"/>
  <c r="U27" i="3" l="1"/>
  <c r="U12" i="3"/>
  <c r="D29" i="2"/>
  <c r="V29" i="2"/>
  <c r="U13" i="3" l="1"/>
  <c r="U18" i="3" s="1"/>
  <c r="D18" i="3"/>
  <c r="U28" i="3"/>
  <c r="U29" i="3" s="1"/>
  <c r="D29" i="3"/>
  <c r="C7" i="1" l="1"/>
  <c r="C6" i="1"/>
  <c r="C8" i="1"/>
  <c r="C9" i="1"/>
  <c r="C10" i="1" l="1"/>
  <c r="C11" i="1" l="1"/>
  <c r="C19" i="1"/>
  <c r="C12" i="1" l="1"/>
  <c r="C13" i="1" l="1"/>
  <c r="C14" i="1" l="1"/>
  <c r="C24" i="6"/>
  <c r="C20" i="1"/>
  <c r="C21" i="1" l="1"/>
  <c r="C22" i="1" l="1"/>
  <c r="C23" i="1" l="1"/>
  <c r="V38" i="4" l="1"/>
  <c r="V37" i="4"/>
  <c r="V39" i="4" l="1"/>
  <c r="V31" i="4" l="1"/>
  <c r="V30" i="4"/>
  <c r="V29" i="4"/>
  <c r="V35" i="4"/>
  <c r="V36" i="4"/>
  <c r="V32" i="4"/>
  <c r="V34" i="4"/>
  <c r="C24" i="1"/>
  <c r="V33" i="4" l="1"/>
  <c r="C25" i="1"/>
  <c r="V6" i="4" l="1"/>
  <c r="V4" i="4"/>
  <c r="V5" i="4"/>
  <c r="V28" i="4"/>
  <c r="C26" i="1"/>
  <c r="T22" i="3"/>
  <c r="T7" i="3"/>
  <c r="V26" i="4" l="1"/>
  <c r="V24" i="4"/>
  <c r="V25" i="4"/>
  <c r="C5" i="5"/>
  <c r="C5" i="6" l="1"/>
  <c r="C27" i="1" l="1"/>
  <c r="C4" i="5"/>
  <c r="C4" i="6"/>
  <c r="T8" i="3" l="1"/>
  <c r="T23" i="3" l="1"/>
  <c r="T9" i="3" l="1"/>
  <c r="T24" i="3"/>
  <c r="T10" i="3" l="1"/>
  <c r="T25" i="3"/>
  <c r="C43" i="2" l="1"/>
  <c r="T26" i="3" l="1"/>
  <c r="T11" i="3"/>
  <c r="U43" i="2"/>
  <c r="U15" i="2" l="1"/>
  <c r="T12" i="3" l="1"/>
  <c r="T27" i="3" l="1"/>
  <c r="C29" i="2"/>
  <c r="U29" i="2"/>
  <c r="T28" i="3" l="1"/>
  <c r="T29" i="3" s="1"/>
  <c r="C29" i="3"/>
  <c r="T13" i="3"/>
  <c r="T18" i="3" s="1"/>
  <c r="C18" i="3"/>
  <c r="B6" i="1" l="1"/>
  <c r="B8" i="1"/>
  <c r="B9" i="1" l="1"/>
  <c r="B7" i="1" l="1"/>
  <c r="B10" i="1"/>
  <c r="B19" i="1"/>
  <c r="B11" i="1" l="1"/>
  <c r="B12" i="1" l="1"/>
  <c r="B20" i="1"/>
  <c r="B13" i="1" l="1"/>
  <c r="B14" i="1" l="1"/>
  <c r="B21" i="1" l="1"/>
  <c r="Q6" i="2"/>
  <c r="B24" i="6" l="1"/>
  <c r="Q8" i="2"/>
  <c r="C15" i="2" l="1"/>
  <c r="B22" i="1" l="1"/>
  <c r="Q20" i="2"/>
  <c r="Q7" i="2"/>
  <c r="U38" i="4" l="1"/>
  <c r="Q21" i="2"/>
  <c r="B23" i="1" l="1"/>
  <c r="U37" i="4"/>
  <c r="U39" i="4" l="1"/>
  <c r="B24" i="1"/>
  <c r="U30" i="4" l="1"/>
  <c r="U32" i="4"/>
  <c r="U35" i="4"/>
  <c r="U29" i="4"/>
  <c r="U33" i="4"/>
  <c r="U34" i="4"/>
  <c r="U36" i="4"/>
  <c r="Q22" i="2" l="1"/>
  <c r="U31" i="4"/>
  <c r="B25" i="1" l="1"/>
  <c r="S7" i="3" l="1"/>
  <c r="AH7" i="3" s="1"/>
  <c r="Q7" i="3"/>
  <c r="S22" i="3"/>
  <c r="AH22" i="3" s="1"/>
  <c r="Q22" i="3"/>
  <c r="U4" i="4" l="1"/>
  <c r="U6" i="4"/>
  <c r="U5" i="4"/>
  <c r="U28" i="4"/>
  <c r="U25" i="4" l="1"/>
  <c r="U26" i="4"/>
  <c r="U24" i="4"/>
  <c r="B26" i="1"/>
  <c r="B27" i="1" l="1"/>
  <c r="B5" i="6" l="1"/>
  <c r="B5" i="5" l="1"/>
  <c r="B4" i="6"/>
  <c r="B4" i="5" l="1"/>
  <c r="S8" i="3" l="1"/>
  <c r="Q8" i="3"/>
  <c r="S23" i="3" l="1"/>
  <c r="Q23" i="3"/>
  <c r="B43" i="2"/>
  <c r="AH8" i="3"/>
  <c r="T43" i="2"/>
  <c r="T15" i="2"/>
  <c r="S9" i="3" l="1"/>
  <c r="Q9" i="3"/>
  <c r="AH23" i="3"/>
  <c r="S24" i="3" l="1"/>
  <c r="Q24" i="3"/>
  <c r="B15" i="2"/>
  <c r="S25" i="3"/>
  <c r="AH9" i="3"/>
  <c r="T29" i="2"/>
  <c r="S10" i="3" l="1"/>
  <c r="B29" i="2"/>
  <c r="AH24" i="3"/>
  <c r="S26" i="3" l="1"/>
  <c r="S11" i="3"/>
  <c r="S27" i="3"/>
  <c r="S12" i="3" l="1"/>
  <c r="S28" i="3" l="1"/>
  <c r="B29" i="3"/>
  <c r="S13" i="3" l="1"/>
  <c r="B18" i="3"/>
  <c r="S29" i="3"/>
  <c r="S18" i="3" l="1"/>
  <c r="P28" i="5" l="1"/>
  <c r="P45" i="6"/>
  <c r="AG22" i="1" l="1"/>
  <c r="AX10" i="1"/>
  <c r="AG10" i="1"/>
  <c r="P10" i="1" l="1"/>
  <c r="AX11" i="1"/>
  <c r="AG11" i="1"/>
  <c r="P11" i="1" l="1"/>
  <c r="AG12" i="1"/>
  <c r="AX12" i="1"/>
  <c r="AG13" i="1" l="1"/>
  <c r="P12" i="1"/>
  <c r="AX13" i="1"/>
  <c r="AX14" i="1" l="1"/>
  <c r="AG14" i="1"/>
  <c r="P13" i="1"/>
  <c r="P14" i="1" l="1"/>
  <c r="G18" i="7"/>
  <c r="AI17" i="4" l="1"/>
  <c r="AI37" i="4" l="1"/>
  <c r="T17" i="4"/>
  <c r="B17" i="4" l="1"/>
  <c r="J17" i="4"/>
  <c r="L17" i="4"/>
  <c r="K17" i="4"/>
  <c r="H17" i="4"/>
  <c r="E17" i="4"/>
  <c r="C17" i="4"/>
  <c r="G17" i="4"/>
  <c r="M17" i="4"/>
  <c r="I17" i="4"/>
  <c r="N17" i="4"/>
  <c r="O17" i="4"/>
  <c r="F17" i="4"/>
  <c r="D17" i="4"/>
  <c r="P17" i="4"/>
  <c r="T37" i="4"/>
  <c r="P37" i="4" s="1"/>
  <c r="B37" i="4" l="1"/>
  <c r="L37" i="4"/>
  <c r="N37" i="4"/>
  <c r="K37" i="4"/>
  <c r="M37" i="4"/>
  <c r="E37" i="4"/>
  <c r="C37" i="4"/>
  <c r="G37" i="4"/>
  <c r="H37" i="4"/>
  <c r="O37" i="4"/>
  <c r="I37" i="4"/>
  <c r="J37" i="4"/>
  <c r="F37" i="4"/>
  <c r="D37" i="4"/>
  <c r="Q17" i="4"/>
  <c r="Q37" i="4" l="1"/>
  <c r="AI18" i="4" l="1"/>
  <c r="AI38" i="4" l="1"/>
  <c r="T18" i="4"/>
  <c r="B18" i="4" l="1"/>
  <c r="L18" i="4"/>
  <c r="I18" i="4"/>
  <c r="N18" i="4"/>
  <c r="O18" i="4"/>
  <c r="E18" i="4"/>
  <c r="C18" i="4"/>
  <c r="G18" i="4"/>
  <c r="J18" i="4"/>
  <c r="H18" i="4"/>
  <c r="M18" i="4"/>
  <c r="K18" i="4"/>
  <c r="F18" i="4"/>
  <c r="D18" i="4"/>
  <c r="P18" i="4"/>
  <c r="T38" i="4"/>
  <c r="B38" i="4" l="1"/>
  <c r="N38" i="4"/>
  <c r="L38" i="4"/>
  <c r="O38" i="4"/>
  <c r="M38" i="4"/>
  <c r="C38" i="4"/>
  <c r="G38" i="4"/>
  <c r="H38" i="4"/>
  <c r="J38" i="4"/>
  <c r="K38" i="4"/>
  <c r="I38" i="4"/>
  <c r="F38" i="4"/>
  <c r="D38" i="4"/>
  <c r="E38" i="4"/>
  <c r="P38" i="4"/>
  <c r="Q18" i="4"/>
  <c r="Q38" i="4" l="1"/>
  <c r="F18" i="7" l="1"/>
  <c r="AX22" i="1"/>
  <c r="P22" i="1" s="1"/>
  <c r="AG23" i="1" l="1"/>
  <c r="AX23" i="1" l="1"/>
  <c r="P23" i="1" s="1"/>
  <c r="AH9" i="2"/>
  <c r="P5" i="6" s="1"/>
  <c r="AI14" i="4" l="1"/>
  <c r="AI11" i="4"/>
  <c r="AI12" i="4"/>
  <c r="AI15" i="4"/>
  <c r="AI9" i="4"/>
  <c r="AI16" i="4"/>
  <c r="P9" i="2" l="1"/>
  <c r="AI36" i="4"/>
  <c r="T16" i="4"/>
  <c r="P16" i="4" s="1"/>
  <c r="AI35" i="4"/>
  <c r="T15" i="4"/>
  <c r="P15" i="4" s="1"/>
  <c r="AI32" i="4"/>
  <c r="T12" i="4"/>
  <c r="P12" i="4" s="1"/>
  <c r="AI31" i="4"/>
  <c r="T11" i="4"/>
  <c r="P11" i="4" s="1"/>
  <c r="AI34" i="4"/>
  <c r="T14" i="4"/>
  <c r="P14" i="4" s="1"/>
  <c r="AX24" i="1"/>
  <c r="AG24" i="1"/>
  <c r="AI29" i="4"/>
  <c r="T9" i="4"/>
  <c r="P9" i="4" s="1"/>
  <c r="AI13" i="4"/>
  <c r="AI10" i="4"/>
  <c r="AI19" i="4"/>
  <c r="P24" i="1" l="1"/>
  <c r="AI39" i="4"/>
  <c r="T19" i="4"/>
  <c r="P5" i="5"/>
  <c r="Q9" i="2"/>
  <c r="AI33" i="4"/>
  <c r="T13" i="4"/>
  <c r="P13" i="4" s="1"/>
  <c r="T29" i="4"/>
  <c r="P29" i="4" s="1"/>
  <c r="G14" i="4"/>
  <c r="N14" i="4"/>
  <c r="L14" i="4"/>
  <c r="K14" i="4"/>
  <c r="H14" i="4"/>
  <c r="F14" i="4"/>
  <c r="D14" i="4"/>
  <c r="J14" i="4"/>
  <c r="M14" i="4"/>
  <c r="I14" i="4"/>
  <c r="O14" i="4"/>
  <c r="E14" i="4"/>
  <c r="C14" i="4"/>
  <c r="B14" i="4"/>
  <c r="T31" i="4"/>
  <c r="P31" i="4" s="1"/>
  <c r="G12" i="4"/>
  <c r="M12" i="4"/>
  <c r="L12" i="4"/>
  <c r="K12" i="4"/>
  <c r="H12" i="4"/>
  <c r="F12" i="4"/>
  <c r="D12" i="4"/>
  <c r="I12" i="4"/>
  <c r="J12" i="4"/>
  <c r="N12" i="4"/>
  <c r="O12" i="4"/>
  <c r="E12" i="4"/>
  <c r="C12" i="4"/>
  <c r="B12" i="4"/>
  <c r="T35" i="4"/>
  <c r="P35" i="4" s="1"/>
  <c r="B16" i="4"/>
  <c r="I16" i="4"/>
  <c r="M16" i="4"/>
  <c r="N16" i="4"/>
  <c r="O16" i="4"/>
  <c r="E16" i="4"/>
  <c r="C16" i="4"/>
  <c r="G16" i="4"/>
  <c r="J16" i="4"/>
  <c r="L16" i="4"/>
  <c r="K16" i="4"/>
  <c r="H16" i="4"/>
  <c r="F16" i="4"/>
  <c r="D16" i="4"/>
  <c r="AI30" i="4"/>
  <c r="T10" i="4"/>
  <c r="P10" i="4" s="1"/>
  <c r="H9" i="4"/>
  <c r="K9" i="4"/>
  <c r="J9" i="4"/>
  <c r="M9" i="4"/>
  <c r="L9" i="4"/>
  <c r="E9" i="4"/>
  <c r="C9" i="4"/>
  <c r="G9" i="4"/>
  <c r="N9" i="4"/>
  <c r="O9" i="4"/>
  <c r="I9" i="4"/>
  <c r="F9" i="4"/>
  <c r="D9" i="4"/>
  <c r="B9" i="4"/>
  <c r="T34" i="4"/>
  <c r="P34" i="4" s="1"/>
  <c r="B11" i="4"/>
  <c r="G11" i="4"/>
  <c r="M11" i="4"/>
  <c r="K11" i="4"/>
  <c r="J11" i="4"/>
  <c r="N11" i="4"/>
  <c r="F11" i="4"/>
  <c r="D11" i="4"/>
  <c r="I11" i="4"/>
  <c r="H11" i="4"/>
  <c r="O11" i="4"/>
  <c r="L11" i="4"/>
  <c r="E11" i="4"/>
  <c r="C11" i="4"/>
  <c r="T32" i="4"/>
  <c r="P32" i="4" s="1"/>
  <c r="B15" i="4"/>
  <c r="I15" i="4"/>
  <c r="M15" i="4"/>
  <c r="H15" i="4"/>
  <c r="K15" i="4"/>
  <c r="L15" i="4"/>
  <c r="E15" i="4"/>
  <c r="C15" i="4"/>
  <c r="G15" i="4"/>
  <c r="O15" i="4"/>
  <c r="D15" i="4"/>
  <c r="J15" i="4"/>
  <c r="N15" i="4"/>
  <c r="F15" i="4"/>
  <c r="T36" i="4"/>
  <c r="P36" i="4" s="1"/>
  <c r="Q12" i="4" l="1"/>
  <c r="Q14" i="4"/>
  <c r="B19" i="4"/>
  <c r="G19" i="4"/>
  <c r="N19" i="4"/>
  <c r="J19" i="4"/>
  <c r="O19" i="4"/>
  <c r="I19" i="4"/>
  <c r="F19" i="4"/>
  <c r="D19" i="4"/>
  <c r="H19" i="4"/>
  <c r="L19" i="4"/>
  <c r="K19" i="4"/>
  <c r="M19" i="4"/>
  <c r="E19" i="4"/>
  <c r="C19" i="4"/>
  <c r="P19" i="4"/>
  <c r="T39" i="4"/>
  <c r="P39" i="4" s="1"/>
  <c r="AG25" i="1"/>
  <c r="Q9" i="4"/>
  <c r="T30" i="4"/>
  <c r="P30" i="4" s="1"/>
  <c r="Q16" i="4"/>
  <c r="B35" i="4"/>
  <c r="L35" i="4"/>
  <c r="I35" i="4"/>
  <c r="M35" i="4"/>
  <c r="K35" i="4"/>
  <c r="E35" i="4"/>
  <c r="C35" i="4"/>
  <c r="O35" i="4"/>
  <c r="H35" i="4"/>
  <c r="F35" i="4"/>
  <c r="G35" i="4"/>
  <c r="N35" i="4"/>
  <c r="J35" i="4"/>
  <c r="D35" i="4"/>
  <c r="B31" i="4"/>
  <c r="I31" i="4"/>
  <c r="M31" i="4"/>
  <c r="N31" i="4"/>
  <c r="J31" i="4"/>
  <c r="E31" i="4"/>
  <c r="C31" i="4"/>
  <c r="G31" i="4"/>
  <c r="O31" i="4"/>
  <c r="K31" i="4"/>
  <c r="L31" i="4"/>
  <c r="H31" i="4"/>
  <c r="F31" i="4"/>
  <c r="D31" i="4"/>
  <c r="B29" i="4"/>
  <c r="G29" i="4"/>
  <c r="O29" i="4"/>
  <c r="J29" i="4"/>
  <c r="N29" i="4"/>
  <c r="F29" i="4"/>
  <c r="D29" i="4"/>
  <c r="K29" i="4"/>
  <c r="M29" i="4"/>
  <c r="H29" i="4"/>
  <c r="C29" i="4"/>
  <c r="I29" i="4"/>
  <c r="L29" i="4"/>
  <c r="E29" i="4"/>
  <c r="B13" i="4"/>
  <c r="H13" i="4"/>
  <c r="K13" i="4"/>
  <c r="I13" i="4"/>
  <c r="L13" i="4"/>
  <c r="E13" i="4"/>
  <c r="C13" i="4"/>
  <c r="G13" i="4"/>
  <c r="O13" i="4"/>
  <c r="M13" i="4"/>
  <c r="D13" i="4"/>
  <c r="N13" i="4"/>
  <c r="J13" i="4"/>
  <c r="F13" i="4"/>
  <c r="AX25" i="1"/>
  <c r="B36" i="4"/>
  <c r="N36" i="4"/>
  <c r="M36" i="4"/>
  <c r="I36" i="4"/>
  <c r="J36" i="4"/>
  <c r="E36" i="4"/>
  <c r="C36" i="4"/>
  <c r="O36" i="4"/>
  <c r="L36" i="4"/>
  <c r="K36" i="4"/>
  <c r="D36" i="4"/>
  <c r="G36" i="4"/>
  <c r="H36" i="4"/>
  <c r="F36" i="4"/>
  <c r="Q15" i="4"/>
  <c r="B32" i="4"/>
  <c r="N32" i="4"/>
  <c r="K32" i="4"/>
  <c r="J32" i="4"/>
  <c r="O32" i="4"/>
  <c r="F32" i="4"/>
  <c r="D32" i="4"/>
  <c r="L32" i="4"/>
  <c r="I32" i="4"/>
  <c r="G32" i="4"/>
  <c r="M32" i="4"/>
  <c r="H32" i="4"/>
  <c r="E32" i="4"/>
  <c r="C32" i="4"/>
  <c r="Q11" i="4"/>
  <c r="B34" i="4"/>
  <c r="H34" i="4"/>
  <c r="O34" i="4"/>
  <c r="G34" i="4"/>
  <c r="J34" i="4"/>
  <c r="F34" i="4"/>
  <c r="D34" i="4"/>
  <c r="L34" i="4"/>
  <c r="I34" i="4"/>
  <c r="K34" i="4"/>
  <c r="N34" i="4"/>
  <c r="M34" i="4"/>
  <c r="E34" i="4"/>
  <c r="C34" i="4"/>
  <c r="B10" i="4"/>
  <c r="N10" i="4"/>
  <c r="O10" i="4"/>
  <c r="I10" i="4"/>
  <c r="L10" i="4"/>
  <c r="E10" i="4"/>
  <c r="C10" i="4"/>
  <c r="G10" i="4"/>
  <c r="H10" i="4"/>
  <c r="M10" i="4"/>
  <c r="D10" i="4"/>
  <c r="K10" i="4"/>
  <c r="J10" i="4"/>
  <c r="F10" i="4"/>
  <c r="T33" i="4"/>
  <c r="P33" i="4" s="1"/>
  <c r="AI8" i="4"/>
  <c r="Q19" i="4" l="1"/>
  <c r="G39" i="4"/>
  <c r="O39" i="4"/>
  <c r="N39" i="4"/>
  <c r="L39" i="4"/>
  <c r="K39" i="4"/>
  <c r="D39" i="4"/>
  <c r="J39" i="4"/>
  <c r="M39" i="4"/>
  <c r="H39" i="4"/>
  <c r="I39" i="4"/>
  <c r="E39" i="4"/>
  <c r="C39" i="4"/>
  <c r="F39" i="4"/>
  <c r="B39" i="4"/>
  <c r="Q32" i="4"/>
  <c r="B30" i="4"/>
  <c r="J30" i="4"/>
  <c r="O30" i="4"/>
  <c r="M30" i="4"/>
  <c r="K30" i="4"/>
  <c r="I30" i="4"/>
  <c r="F30" i="4"/>
  <c r="D30" i="4"/>
  <c r="H30" i="4"/>
  <c r="G30" i="4"/>
  <c r="C30" i="4"/>
  <c r="N30" i="4"/>
  <c r="L30" i="4"/>
  <c r="E30" i="4"/>
  <c r="P25" i="1"/>
  <c r="AI4" i="4"/>
  <c r="AI5" i="4"/>
  <c r="AI28" i="4"/>
  <c r="AI6" i="4"/>
  <c r="T8" i="4"/>
  <c r="P8" i="4" s="1"/>
  <c r="B33" i="4"/>
  <c r="K33" i="4"/>
  <c r="J33" i="4"/>
  <c r="O33" i="4"/>
  <c r="M33" i="4"/>
  <c r="N33" i="4"/>
  <c r="F33" i="4"/>
  <c r="D33" i="4"/>
  <c r="I33" i="4"/>
  <c r="E33" i="4"/>
  <c r="H33" i="4"/>
  <c r="L33" i="4"/>
  <c r="G33" i="4"/>
  <c r="C33" i="4"/>
  <c r="Q10" i="4"/>
  <c r="Q34" i="4"/>
  <c r="Q36" i="4"/>
  <c r="Q13" i="4"/>
  <c r="Q29" i="4"/>
  <c r="Q31" i="4"/>
  <c r="Q35" i="4"/>
  <c r="AH23" i="2"/>
  <c r="P4" i="6" s="1"/>
  <c r="Q39" i="4" l="1"/>
  <c r="P23" i="2"/>
  <c r="P5" i="4"/>
  <c r="P6" i="4"/>
  <c r="P4" i="4"/>
  <c r="Q30" i="4"/>
  <c r="AG26" i="1"/>
  <c r="AH38" i="2"/>
  <c r="P38" i="2"/>
  <c r="AX26" i="1"/>
  <c r="Q33" i="4"/>
  <c r="B8" i="4"/>
  <c r="I8" i="4"/>
  <c r="J8" i="4"/>
  <c r="N8" i="4"/>
  <c r="K8" i="4"/>
  <c r="H8" i="4"/>
  <c r="F8" i="4"/>
  <c r="D8" i="4"/>
  <c r="M8" i="4"/>
  <c r="L8" i="4"/>
  <c r="G8" i="4"/>
  <c r="O8" i="4"/>
  <c r="E8" i="4"/>
  <c r="C8" i="4"/>
  <c r="AI25" i="4"/>
  <c r="AI24" i="4"/>
  <c r="AI26" i="4"/>
  <c r="T28" i="4"/>
  <c r="P28" i="4" s="1"/>
  <c r="AH10" i="2"/>
  <c r="P4" i="5" l="1"/>
  <c r="Q23" i="2"/>
  <c r="P24" i="4"/>
  <c r="P26" i="4"/>
  <c r="P25" i="4"/>
  <c r="E4" i="4"/>
  <c r="E6" i="4"/>
  <c r="E5" i="4"/>
  <c r="G6" i="4"/>
  <c r="G4" i="4"/>
  <c r="G5" i="4"/>
  <c r="M5" i="4"/>
  <c r="M4" i="4"/>
  <c r="M6" i="4"/>
  <c r="F5" i="4"/>
  <c r="F6" i="4"/>
  <c r="F4" i="4"/>
  <c r="K6" i="4"/>
  <c r="K4" i="4"/>
  <c r="K5" i="4"/>
  <c r="J4" i="4"/>
  <c r="J6" i="4"/>
  <c r="J5" i="4"/>
  <c r="B6" i="4"/>
  <c r="B5" i="4"/>
  <c r="B4" i="4"/>
  <c r="Q8" i="4"/>
  <c r="Q38" i="2"/>
  <c r="P26" i="1"/>
  <c r="G28" i="4"/>
  <c r="O28" i="4"/>
  <c r="M28" i="4"/>
  <c r="I28" i="4"/>
  <c r="F28" i="4"/>
  <c r="D28" i="4"/>
  <c r="B28" i="4"/>
  <c r="H28" i="4"/>
  <c r="J28" i="4"/>
  <c r="K28" i="4"/>
  <c r="N28" i="4"/>
  <c r="L28" i="4"/>
  <c r="E28" i="4"/>
  <c r="C28" i="4"/>
  <c r="C6" i="4"/>
  <c r="C4" i="4"/>
  <c r="C5" i="4"/>
  <c r="O4" i="4"/>
  <c r="O5" i="4"/>
  <c r="O6" i="4"/>
  <c r="L6" i="4"/>
  <c r="L4" i="4"/>
  <c r="L5" i="4"/>
  <c r="D5" i="4"/>
  <c r="D6" i="4"/>
  <c r="D4" i="4"/>
  <c r="H4" i="4"/>
  <c r="H5" i="4"/>
  <c r="H6" i="4"/>
  <c r="N6" i="4"/>
  <c r="N4" i="4"/>
  <c r="N5" i="4"/>
  <c r="I4" i="4"/>
  <c r="I5" i="4"/>
  <c r="I6" i="4"/>
  <c r="P10" i="2"/>
  <c r="AX27" i="1"/>
  <c r="Q10" i="2" l="1"/>
  <c r="E26" i="4"/>
  <c r="E25" i="4"/>
  <c r="E24" i="4"/>
  <c r="N26" i="4"/>
  <c r="N24" i="4"/>
  <c r="N25" i="4"/>
  <c r="J26" i="4"/>
  <c r="J24" i="4"/>
  <c r="J25" i="4"/>
  <c r="B24" i="4"/>
  <c r="B26" i="4"/>
  <c r="Q28" i="4"/>
  <c r="B25" i="4"/>
  <c r="F25" i="4"/>
  <c r="F26" i="4"/>
  <c r="F24" i="4"/>
  <c r="M26" i="4"/>
  <c r="M25" i="4"/>
  <c r="M24" i="4"/>
  <c r="G26" i="4"/>
  <c r="G25" i="4"/>
  <c r="G24" i="4"/>
  <c r="C25" i="4"/>
  <c r="C26" i="4"/>
  <c r="C24" i="4"/>
  <c r="L26" i="4"/>
  <c r="L24" i="4"/>
  <c r="L25" i="4"/>
  <c r="K25" i="4"/>
  <c r="K24" i="4"/>
  <c r="K26" i="4"/>
  <c r="H25" i="4"/>
  <c r="H26" i="4"/>
  <c r="H24" i="4"/>
  <c r="D25" i="4"/>
  <c r="D24" i="4"/>
  <c r="D26" i="4"/>
  <c r="I26" i="4"/>
  <c r="I25" i="4"/>
  <c r="I24" i="4"/>
  <c r="O24" i="4"/>
  <c r="O25" i="4"/>
  <c r="O26" i="4"/>
  <c r="AH24" i="2"/>
  <c r="AG27" i="1" l="1"/>
  <c r="P27" i="1" s="1"/>
  <c r="P24" i="2"/>
  <c r="Q24" i="2" l="1"/>
  <c r="AH39" i="2" l="1"/>
  <c r="P39" i="2"/>
  <c r="Q39" i="2" l="1"/>
  <c r="AH11" i="2"/>
  <c r="P11" i="2"/>
  <c r="Q11" i="2" l="1"/>
  <c r="AH25" i="2" l="1"/>
  <c r="P25" i="2" l="1"/>
  <c r="Q25" i="2" l="1"/>
  <c r="P10" i="3"/>
  <c r="P25" i="3" l="1"/>
  <c r="AG10" i="3"/>
  <c r="Q10" i="3"/>
  <c r="AH10" i="3" l="1"/>
  <c r="AG25" i="3"/>
  <c r="Q25" i="3"/>
  <c r="AH25" i="3" l="1"/>
  <c r="AH40" i="2" l="1"/>
  <c r="P40" i="2"/>
  <c r="AH12" i="2"/>
  <c r="AH41" i="2" l="1"/>
  <c r="P41" i="2"/>
  <c r="Q41" i="2" s="1"/>
  <c r="Q40" i="2"/>
  <c r="P12" i="2"/>
  <c r="AH13" i="2"/>
  <c r="AH42" i="2" l="1"/>
  <c r="AH43" i="2" s="1"/>
  <c r="P42" i="2"/>
  <c r="Q12" i="2"/>
  <c r="P13" i="2"/>
  <c r="Q13" i="2" s="1"/>
  <c r="AH26" i="2"/>
  <c r="AH14" i="2"/>
  <c r="AH15" i="2" s="1"/>
  <c r="AH27" i="2"/>
  <c r="Q42" i="2" l="1"/>
  <c r="P43" i="2"/>
  <c r="Q43" i="2" s="1"/>
  <c r="P27" i="2"/>
  <c r="Q27" i="2" s="1"/>
  <c r="P14" i="2"/>
  <c r="Q14" i="2" s="1"/>
  <c r="P26" i="2"/>
  <c r="AH28" i="2"/>
  <c r="AH29" i="2" s="1"/>
  <c r="Q26" i="2" l="1"/>
  <c r="P15" i="2"/>
  <c r="Q15" i="2" s="1"/>
  <c r="P28" i="2"/>
  <c r="Q28" i="2" s="1"/>
  <c r="P29" i="2" l="1"/>
  <c r="Q29" i="2" s="1"/>
  <c r="P12" i="3" l="1"/>
  <c r="P11" i="3"/>
  <c r="AG11" i="3" l="1"/>
  <c r="Q11" i="3"/>
  <c r="P26" i="3"/>
  <c r="AG12" i="3"/>
  <c r="AH12" i="3" s="1"/>
  <c r="Q12" i="3"/>
  <c r="P27" i="3"/>
  <c r="P13" i="3"/>
  <c r="P28" i="3" l="1"/>
  <c r="P29" i="3" s="1"/>
  <c r="Q29" i="3" s="1"/>
  <c r="AG13" i="3"/>
  <c r="AH13" i="3" s="1"/>
  <c r="Q13" i="3"/>
  <c r="AG27" i="3"/>
  <c r="AH27" i="3" s="1"/>
  <c r="Q27" i="3"/>
  <c r="AG26" i="3"/>
  <c r="Q26" i="3"/>
  <c r="P18" i="3"/>
  <c r="Q18" i="3" s="1"/>
  <c r="AH11" i="3"/>
  <c r="P14" i="3"/>
  <c r="AG18" i="3" l="1"/>
  <c r="AH18" i="3" s="1"/>
  <c r="AG28" i="3"/>
  <c r="AH28" i="3" s="1"/>
  <c r="Q28" i="3"/>
  <c r="AH26" i="3"/>
  <c r="P15" i="3"/>
  <c r="AG29" i="3" l="1"/>
  <c r="AH29" i="3" s="1"/>
  <c r="P16" i="3"/>
  <c r="P17" i="3" l="1"/>
  <c r="P29" i="5" l="1"/>
  <c r="P46" i="6"/>
</calcChain>
</file>

<file path=xl/comments1.xml><?xml version="1.0" encoding="utf-8"?>
<comments xmlns="http://schemas.openxmlformats.org/spreadsheetml/2006/main">
  <authors>
    <author>Eric NOEUREUIL</author>
  </authors>
  <commentList>
    <comment ref="A4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2 ans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2 ans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3 ans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4ans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A intégrer ultérieurement: SDIS et Espanes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F3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1/3 de module en panne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Remplacement d'un module 300W par un 310W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1/3 de 2 modules en panne</t>
        </r>
      </text>
    </comment>
    <comment ref="L43" authorId="0" shapeId="0">
      <text>
        <r>
          <rPr>
            <sz val="9"/>
            <color indexed="81"/>
            <rFont val="Tahoma"/>
            <family val="2"/>
          </rPr>
          <t>Saisir la valeur suivant le type de module PV
0,65% /an garanti par JA Solar</t>
        </r>
      </text>
    </comment>
  </commentList>
</comments>
</file>

<file path=xl/sharedStrings.xml><?xml version="1.0" encoding="utf-8"?>
<sst xmlns="http://schemas.openxmlformats.org/spreadsheetml/2006/main" count="716" uniqueCount="123">
  <si>
    <t>Réglages coefficients de pertes stations  I.C.E.A.</t>
  </si>
  <si>
    <t>Pertes par salissure: taux par an</t>
  </si>
  <si>
    <t>Pertes par salissure: taux limite</t>
  </si>
  <si>
    <t>Pertes par salissure constante de temps (ans)</t>
  </si>
  <si>
    <t>Année</t>
  </si>
  <si>
    <t>Donneville</t>
  </si>
  <si>
    <t>Aureville</t>
  </si>
  <si>
    <t>M.J.C. Ayguesviv.</t>
  </si>
  <si>
    <t>Garderie Labège</t>
  </si>
  <si>
    <t>Maternelle Labège</t>
  </si>
  <si>
    <t>Crèche Escalquens</t>
  </si>
  <si>
    <t>Crèche Ayguesviv.</t>
  </si>
  <si>
    <t>S.d.F. Noueilles</t>
  </si>
  <si>
    <t>M. d. S.  Escalquens</t>
  </si>
  <si>
    <t>Berjean Escalquens</t>
  </si>
  <si>
    <t>Ecole Odars</t>
  </si>
  <si>
    <t>Gymnase Ayguesviv.</t>
  </si>
  <si>
    <t>Ecole Montbrun L</t>
  </si>
  <si>
    <t>Espanes Hangar Goussaud</t>
  </si>
  <si>
    <t>Montgiscard
S.D.I.S.</t>
  </si>
  <si>
    <t>Pertes par masquage: Croissance en hauteur x densité</t>
  </si>
  <si>
    <t>Pertes par masquage: Hauteur végétation fin année (m)</t>
  </si>
  <si>
    <t>Pertes par masquage: densité végétation (%)</t>
  </si>
  <si>
    <r>
      <t xml:space="preserve">Pertes de vieillissement P.V. : Taux annuel </t>
    </r>
    <r>
      <rPr>
        <sz val="12"/>
        <color theme="4" tint="-0.499984740745262"/>
        <rFont val="Calibri"/>
        <family val="2"/>
        <scheme val="minor"/>
      </rPr>
      <t>puis dégradations supplémentaires</t>
    </r>
  </si>
  <si>
    <t>Site</t>
  </si>
  <si>
    <t>Particularités de réglages</t>
  </si>
  <si>
    <t>%/An</t>
  </si>
  <si>
    <t xml:space="preserve">Donneville: </t>
  </si>
  <si>
    <t>Quelques pertes végétation; Taux de salissure assez fort augmente en 2022</t>
  </si>
  <si>
    <t xml:space="preserve">Aureville: </t>
  </si>
  <si>
    <t>Taux de salissure assez faible augmente en 2022</t>
  </si>
  <si>
    <t xml:space="preserve">Garderie Labège: </t>
  </si>
  <si>
    <t xml:space="preserve">M.J.C. Ayguesviv.: </t>
  </si>
  <si>
    <t>Faible taux de pertes PV et de salissure</t>
  </si>
  <si>
    <t xml:space="preserve">Maternelle Labège: </t>
  </si>
  <si>
    <t>Fort taux de perte PV + 1/3 module; salissures assez fortes: 2eme position</t>
  </si>
  <si>
    <t xml:space="preserve">Crèche Escalquens: </t>
  </si>
  <si>
    <t>RAS</t>
  </si>
  <si>
    <t xml:space="preserve">Crèche Ayguesviv.: </t>
  </si>
  <si>
    <t>Taux PV salissure et végétation sont les plus élevés!</t>
  </si>
  <si>
    <t xml:space="preserve">S.d.F. Noueilles: </t>
  </si>
  <si>
    <t>Augmentation salissures depuis 2021 effacé par nettoyage 22</t>
  </si>
  <si>
    <t xml:space="preserve">M. d. S.  Escalquens: </t>
  </si>
  <si>
    <t>Légère augmentation taux de salissure en 2022 effacé par nettoyage 22</t>
  </si>
  <si>
    <t xml:space="preserve">Berjean Escalquens: </t>
  </si>
  <si>
    <t xml:space="preserve">Esp. Berjean Escalquens: </t>
  </si>
  <si>
    <t>Forte augmentation salissures en 2021-22  effacé par nettoyage 22</t>
  </si>
  <si>
    <t xml:space="preserve">Ecole Odars: </t>
  </si>
  <si>
    <t>Augmentation taux de salissure en 2022 effacé par nettoyage 22</t>
  </si>
  <si>
    <t xml:space="preserve">Gymnase Ayguesviv.: </t>
  </si>
  <si>
    <t>Fort taux de salissure en 2021-22 effacé par nettoyage 22</t>
  </si>
  <si>
    <t xml:space="preserve">Ecole Montbrun L: </t>
  </si>
  <si>
    <t>Taux de salissure initialement le plus faible augmente en 2022</t>
  </si>
  <si>
    <t>SYNTHESE DES PERTES CENTRALES I.C.E.A. (kWh)</t>
  </si>
  <si>
    <t>SYNTHESE DES PERTES relatives en %</t>
  </si>
  <si>
    <t>Pertes par salissure</t>
  </si>
  <si>
    <t>TOTAL kWh</t>
  </si>
  <si>
    <t>Toutes</t>
  </si>
  <si>
    <t>Moy</t>
  </si>
  <si>
    <t>Pertes par masquage (végétation)</t>
  </si>
  <si>
    <t>Pertes de vieillissement P.V. (pour info.)</t>
  </si>
  <si>
    <t>PREVISIONS DE GAINS I.C.E.A. (kWh) en cas d'action</t>
  </si>
  <si>
    <t>GAINS POTENTIELS   I.C.E.A. (€) en cas d'action</t>
  </si>
  <si>
    <t>Salissures</t>
  </si>
  <si>
    <t>Végétation</t>
  </si>
  <si>
    <t>Prix (kWh)</t>
  </si>
  <si>
    <t>Régler içi la période entre actions (ans):</t>
  </si>
  <si>
    <t>ans</t>
  </si>
  <si>
    <t>Gains par nettoyage salissure</t>
  </si>
  <si>
    <t>TOTAL €</t>
  </si>
  <si>
    <t>Gains par taille de la végétation</t>
  </si>
  <si>
    <r>
      <t xml:space="preserve">1er Octobre 2022:  Ratios de performance </t>
    </r>
    <r>
      <rPr>
        <b/>
        <u/>
        <sz val="14"/>
        <color indexed="8"/>
        <rFont val="Calibri"/>
        <family val="2"/>
      </rPr>
      <t>normalisés suivant JPG</t>
    </r>
    <r>
      <rPr>
        <b/>
        <sz val="14"/>
        <color indexed="8"/>
        <rFont val="Calibri"/>
        <family val="2"/>
      </rPr>
      <t>: basé sur courbes enveloppe</t>
    </r>
  </si>
  <si>
    <t>Nombre stations en service</t>
  </si>
  <si>
    <t>Station:</t>
  </si>
  <si>
    <t>min:</t>
  </si>
  <si>
    <t>moy:</t>
  </si>
  <si>
    <t>max:</t>
  </si>
  <si>
    <t>Mois</t>
  </si>
  <si>
    <t>ratio % /moyenne ICEA</t>
  </si>
  <si>
    <t>vérif</t>
  </si>
  <si>
    <t>Somme centrales (kWh/j)</t>
  </si>
  <si>
    <t>Moyenne Mois kWh/kWc/j</t>
  </si>
  <si>
    <r>
      <t xml:space="preserve">1er Octobre 2022: Ratios de performance </t>
    </r>
    <r>
      <rPr>
        <b/>
        <u/>
        <sz val="14"/>
        <color indexed="8"/>
        <rFont val="Calibri"/>
        <family val="2"/>
      </rPr>
      <t>absolus suivant JPG</t>
    </r>
    <r>
      <rPr>
        <b/>
        <sz val="14"/>
        <color indexed="8"/>
        <rFont val="Calibri"/>
        <family val="2"/>
      </rPr>
      <t>:  basé sur courbes enveloppe</t>
    </r>
  </si>
  <si>
    <t>Pcrête (kW)</t>
  </si>
  <si>
    <t>P crête (kW):</t>
  </si>
  <si>
    <t>Moyenne Mois (kWh/j)</t>
  </si>
  <si>
    <t>SYNTHESE DES PERTES &amp; GAINS STATIONS I.C.E.A. (kWh)</t>
  </si>
  <si>
    <t>Bilan de pertes
2022</t>
  </si>
  <si>
    <t>Espace Berjean Escalq</t>
  </si>
  <si>
    <t>Masquage végé. 2022 (kWh/kWc)</t>
  </si>
  <si>
    <t>Perte salissure 2022 (kWh/kWc)</t>
  </si>
  <si>
    <t>Gain instantanné nettoyage</t>
  </si>
  <si>
    <t>Espace Berjean Escalquens</t>
  </si>
  <si>
    <t>Période nettoyage 1 an</t>
  </si>
  <si>
    <t>Période nettoyage 2ans</t>
  </si>
  <si>
    <t>Période nettoyage 3ans</t>
  </si>
  <si>
    <t>Période nettoyage 4ans</t>
  </si>
  <si>
    <t>Période de calcul station</t>
  </si>
  <si>
    <t>SYNTHESE DES PERTES &amp; GAINS STATIONS I.C.E.A. (%)</t>
  </si>
  <si>
    <t>Masquage végé. 2022</t>
  </si>
  <si>
    <t>Perte salissure 2022</t>
  </si>
  <si>
    <t>Résidu nettoyage</t>
  </si>
  <si>
    <t>Résidu nettoyage / Gain+résidu</t>
  </si>
  <si>
    <t>Montgiscard S.D.I.S.</t>
  </si>
  <si>
    <t>Gain de nettoyage moyen
( kWh/an ) Décembre 2022</t>
  </si>
  <si>
    <t>Valeurs préliminaires</t>
  </si>
  <si>
    <t>Méthode: moyenne des valeurs gains annuels dernière période</t>
  </si>
  <si>
    <t>Gain  moyen calculé (à reporter ci-dessus)</t>
  </si>
  <si>
    <t>Gymnase Ayguesvives</t>
  </si>
  <si>
    <t>Mise en service</t>
  </si>
  <si>
    <t>Installation PV</t>
  </si>
  <si>
    <t>Salissure</t>
  </si>
  <si>
    <t>Fin 2022</t>
  </si>
  <si>
    <t>Nettoyages précédents</t>
  </si>
  <si>
    <t>Avr. 2023</t>
  </si>
  <si>
    <t>Gain kWh nettoyage de 2023</t>
  </si>
  <si>
    <t>Prix €/kWh</t>
  </si>
  <si>
    <t>Gain (€) nettoyage de 2023</t>
  </si>
  <si>
    <t>Date Nettoyage N+1</t>
  </si>
  <si>
    <t>Date Nettoyage en 2023</t>
  </si>
  <si>
    <t>Intervalle nettoyage (an)</t>
  </si>
  <si>
    <t>Hypothèse nettoyage systématique en 2023 --&gt;</t>
  </si>
  <si>
    <t>Synthèse nettoyages ICEA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</si>
</sst>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.0_ ;\-#,##0.0\ "/>
    <numFmt numFmtId="165" formatCode="0.0%"/>
    <numFmt numFmtId="166" formatCode="0.000"/>
    <numFmt numFmtId="167" formatCode="#,##0\ &quot;€&quot;"/>
    <numFmt numFmtId="168" formatCode="0.0"/>
    <numFmt numFmtId="169" formatCode="[$-40C]mmm\-yy;@"/>
    <numFmt numFmtId="170" formatCode="[$-40C]d\-mmm\-yy;@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u/>
      <sz val="8"/>
      <color theme="7" tint="-0.499984740745262"/>
      <name val="Calibri"/>
      <family val="2"/>
      <scheme val="minor"/>
    </font>
    <font>
      <b/>
      <u/>
      <sz val="10"/>
      <color theme="7" tint="-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u/>
      <sz val="10"/>
      <color theme="1" tint="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7" tint="-0.499984740745262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" tint="0.499984740745262"/>
      <name val="Calibri"/>
      <family val="2"/>
      <scheme val="minor"/>
    </font>
    <font>
      <b/>
      <u/>
      <sz val="11"/>
      <color theme="7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2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1" fontId="5" fillId="0" borderId="0" xfId="0" applyNumberFormat="1" applyFont="1"/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6" fillId="0" borderId="0" xfId="0" applyNumberFormat="1" applyFont="1"/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1" fontId="7" fillId="0" borderId="3" xfId="0" applyNumberFormat="1" applyFont="1" applyBorder="1"/>
    <xf numFmtId="9" fontId="6" fillId="0" borderId="0" xfId="2" applyFont="1" applyBorder="1" applyAlignment="1">
      <alignment horizontal="center" vertical="center"/>
    </xf>
    <xf numFmtId="9" fontId="10" fillId="0" borderId="0" xfId="2" applyFont="1" applyBorder="1" applyAlignment="1">
      <alignment horizontal="center" vertical="center"/>
    </xf>
    <xf numFmtId="9" fontId="10" fillId="0" borderId="4" xfId="2" applyFont="1" applyBorder="1" applyAlignment="1">
      <alignment horizontal="center" vertical="center"/>
    </xf>
    <xf numFmtId="9" fontId="10" fillId="0" borderId="0" xfId="2" applyFont="1" applyFill="1" applyBorder="1" applyAlignment="1">
      <alignment horizontal="center" vertical="center"/>
    </xf>
    <xf numFmtId="1" fontId="4" fillId="0" borderId="3" xfId="0" applyNumberFormat="1" applyFont="1" applyBorder="1"/>
    <xf numFmtId="9" fontId="11" fillId="0" borderId="0" xfId="2" applyFont="1" applyBorder="1" applyAlignment="1">
      <alignment horizontal="center" vertical="center"/>
    </xf>
    <xf numFmtId="9" fontId="12" fillId="0" borderId="0" xfId="2" applyFont="1" applyBorder="1" applyAlignment="1">
      <alignment horizontal="center" vertical="center"/>
    </xf>
    <xf numFmtId="9" fontId="11" fillId="0" borderId="0" xfId="2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/>
    </xf>
    <xf numFmtId="164" fontId="11" fillId="0" borderId="0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9" fontId="13" fillId="0" borderId="0" xfId="2" applyFont="1" applyBorder="1" applyAlignment="1">
      <alignment horizontal="center" vertical="center"/>
    </xf>
    <xf numFmtId="9" fontId="10" fillId="0" borderId="5" xfId="2" applyFont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9" fontId="11" fillId="0" borderId="5" xfId="2" applyFont="1" applyBorder="1" applyAlignment="1">
      <alignment horizontal="center" vertical="center"/>
    </xf>
    <xf numFmtId="1" fontId="14" fillId="0" borderId="3" xfId="0" applyNumberFormat="1" applyFont="1" applyBorder="1"/>
    <xf numFmtId="9" fontId="14" fillId="0" borderId="0" xfId="2" applyFont="1" applyBorder="1" applyAlignment="1">
      <alignment horizontal="center" vertical="center"/>
    </xf>
    <xf numFmtId="9" fontId="14" fillId="0" borderId="5" xfId="2" applyFont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1" fontId="15" fillId="0" borderId="3" xfId="0" applyNumberFormat="1" applyFont="1" applyBorder="1"/>
    <xf numFmtId="9" fontId="15" fillId="0" borderId="0" xfId="2" applyFont="1" applyBorder="1" applyAlignment="1">
      <alignment horizontal="center" vertical="center"/>
    </xf>
    <xf numFmtId="9" fontId="15" fillId="0" borderId="5" xfId="2" applyFont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0" fontId="14" fillId="0" borderId="0" xfId="0" applyFont="1"/>
    <xf numFmtId="1" fontId="14" fillId="0" borderId="6" xfId="0" applyNumberFormat="1" applyFont="1" applyBorder="1"/>
    <xf numFmtId="9" fontId="14" fillId="0" borderId="7" xfId="2" applyFont="1" applyBorder="1" applyAlignment="1">
      <alignment horizontal="center" vertical="center"/>
    </xf>
    <xf numFmtId="9" fontId="14" fillId="0" borderId="8" xfId="2" applyFont="1" applyBorder="1" applyAlignment="1">
      <alignment horizontal="center" vertical="center"/>
    </xf>
    <xf numFmtId="1" fontId="15" fillId="0" borderId="6" xfId="0" applyNumberFormat="1" applyFont="1" applyBorder="1"/>
    <xf numFmtId="9" fontId="15" fillId="0" borderId="7" xfId="2" applyFont="1" applyBorder="1" applyAlignment="1">
      <alignment horizontal="center" vertical="center"/>
    </xf>
    <xf numFmtId="9" fontId="15" fillId="0" borderId="8" xfId="2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17" fillId="0" borderId="0" xfId="0" applyNumberFormat="1" applyFont="1"/>
    <xf numFmtId="1" fontId="18" fillId="0" borderId="0" xfId="0" applyNumberFormat="1" applyFont="1"/>
    <xf numFmtId="1" fontId="4" fillId="0" borderId="0" xfId="0" applyNumberFormat="1" applyFont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/>
    </xf>
    <xf numFmtId="9" fontId="21" fillId="0" borderId="0" xfId="2" applyFont="1" applyBorder="1" applyAlignment="1">
      <alignment horizontal="center" vertical="center"/>
    </xf>
    <xf numFmtId="9" fontId="21" fillId="0" borderId="4" xfId="2" applyFont="1" applyBorder="1" applyAlignment="1">
      <alignment horizontal="center" vertical="center"/>
    </xf>
    <xf numFmtId="1" fontId="7" fillId="0" borderId="0" xfId="0" applyNumberFormat="1" applyFont="1"/>
    <xf numFmtId="2" fontId="19" fillId="0" borderId="5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9" fontId="21" fillId="0" borderId="5" xfId="2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/>
    <xf numFmtId="2" fontId="14" fillId="0" borderId="7" xfId="0" applyNumberFormat="1" applyFont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2" fontId="15" fillId="0" borderId="8" xfId="0" applyNumberFormat="1" applyFont="1" applyBorder="1" applyAlignment="1">
      <alignment horizontal="center" vertical="center"/>
    </xf>
    <xf numFmtId="0" fontId="24" fillId="0" borderId="0" xfId="0" applyFont="1"/>
    <xf numFmtId="0" fontId="9" fillId="2" borderId="1" xfId="0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right"/>
    </xf>
    <xf numFmtId="10" fontId="25" fillId="0" borderId="1" xfId="2" applyNumberFormat="1" applyFont="1" applyBorder="1" applyAlignment="1">
      <alignment horizontal="center" vertical="center"/>
    </xf>
    <xf numFmtId="10" fontId="26" fillId="0" borderId="1" xfId="2" applyNumberFormat="1" applyFont="1" applyBorder="1" applyAlignment="1">
      <alignment horizontal="center" vertical="center"/>
    </xf>
    <xf numFmtId="10" fontId="27" fillId="0" borderId="1" xfId="2" applyNumberFormat="1" applyFont="1" applyBorder="1" applyAlignment="1">
      <alignment horizontal="center" vertical="center"/>
    </xf>
    <xf numFmtId="165" fontId="28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/>
    <xf numFmtId="1" fontId="30" fillId="0" borderId="3" xfId="0" applyNumberFormat="1" applyFont="1" applyBorder="1"/>
    <xf numFmtId="165" fontId="31" fillId="0" borderId="11" xfId="2" applyNumberFormat="1" applyFont="1" applyBorder="1" applyAlignment="1">
      <alignment horizontal="center" vertical="center"/>
    </xf>
    <xf numFmtId="165" fontId="31" fillId="0" borderId="12" xfId="2" applyNumberFormat="1" applyFont="1" applyBorder="1" applyAlignment="1">
      <alignment horizontal="center" vertical="center"/>
    </xf>
    <xf numFmtId="165" fontId="31" fillId="0" borderId="4" xfId="2" applyNumberFormat="1" applyFont="1" applyBorder="1" applyAlignment="1">
      <alignment horizontal="center" vertical="center"/>
    </xf>
    <xf numFmtId="165" fontId="31" fillId="0" borderId="0" xfId="2" applyNumberFormat="1" applyFont="1" applyFill="1" applyBorder="1" applyAlignment="1">
      <alignment horizontal="center" vertical="center"/>
    </xf>
    <xf numFmtId="0" fontId="30" fillId="0" borderId="0" xfId="0" applyFont="1"/>
    <xf numFmtId="0" fontId="29" fillId="0" borderId="0" xfId="0" applyFont="1"/>
    <xf numFmtId="165" fontId="31" fillId="0" borderId="3" xfId="2" applyNumberFormat="1" applyFont="1" applyBorder="1" applyAlignment="1">
      <alignment horizontal="center" vertical="center"/>
    </xf>
    <xf numFmtId="165" fontId="31" fillId="0" borderId="0" xfId="2" applyNumberFormat="1" applyFont="1" applyBorder="1" applyAlignment="1">
      <alignment horizontal="center" vertical="center"/>
    </xf>
    <xf numFmtId="165" fontId="31" fillId="0" borderId="5" xfId="2" applyNumberFormat="1" applyFont="1" applyBorder="1" applyAlignment="1">
      <alignment horizontal="center" vertical="center"/>
    </xf>
    <xf numFmtId="165" fontId="32" fillId="0" borderId="0" xfId="2" applyNumberFormat="1" applyFont="1" applyFill="1" applyBorder="1" applyAlignment="1">
      <alignment horizontal="center" vertical="center"/>
    </xf>
    <xf numFmtId="0" fontId="32" fillId="0" borderId="0" xfId="0" applyFont="1"/>
    <xf numFmtId="0" fontId="33" fillId="0" borderId="0" xfId="0" applyFont="1" applyFill="1" applyBorder="1"/>
    <xf numFmtId="1" fontId="32" fillId="0" borderId="3" xfId="0" applyNumberFormat="1" applyFont="1" applyBorder="1"/>
    <xf numFmtId="165" fontId="32" fillId="0" borderId="3" xfId="2" applyNumberFormat="1" applyFont="1" applyBorder="1" applyAlignment="1">
      <alignment horizontal="center" vertical="center"/>
    </xf>
    <xf numFmtId="165" fontId="32" fillId="0" borderId="0" xfId="2" applyNumberFormat="1" applyFont="1" applyBorder="1" applyAlignment="1">
      <alignment horizontal="center" vertical="center"/>
    </xf>
    <xf numFmtId="165" fontId="32" fillId="0" borderId="5" xfId="2" applyNumberFormat="1" applyFont="1" applyBorder="1" applyAlignment="1">
      <alignment horizontal="center" vertical="center"/>
    </xf>
    <xf numFmtId="165" fontId="32" fillId="0" borderId="6" xfId="2" applyNumberFormat="1" applyFont="1" applyBorder="1" applyAlignment="1">
      <alignment horizontal="center" vertical="center"/>
    </xf>
    <xf numFmtId="165" fontId="32" fillId="0" borderId="7" xfId="2" applyNumberFormat="1" applyFont="1" applyBorder="1" applyAlignment="1">
      <alignment horizontal="center" vertical="center"/>
    </xf>
    <xf numFmtId="165" fontId="32" fillId="0" borderId="8" xfId="2" applyNumberFormat="1" applyFont="1" applyBorder="1" applyAlignment="1">
      <alignment horizontal="center" vertical="center"/>
    </xf>
    <xf numFmtId="10" fontId="34" fillId="0" borderId="0" xfId="2" applyNumberFormat="1" applyFont="1" applyFill="1" applyBorder="1" applyAlignment="1">
      <alignment horizontal="center" vertical="center"/>
    </xf>
    <xf numFmtId="1" fontId="30" fillId="0" borderId="0" xfId="0" applyNumberFormat="1" applyFont="1"/>
    <xf numFmtId="1" fontId="30" fillId="0" borderId="0" xfId="0" applyNumberFormat="1" applyFont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0" fontId="35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0" xfId="0" applyFont="1" applyFill="1" applyBorder="1" applyAlignment="1">
      <alignment horizontal="center" vertical="center"/>
    </xf>
    <xf numFmtId="17" fontId="39" fillId="0" borderId="0" xfId="0" applyNumberFormat="1" applyFont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65" fontId="10" fillId="0" borderId="0" xfId="2" applyNumberFormat="1" applyFont="1" applyBorder="1" applyAlignment="1">
      <alignment horizontal="center" vertical="center"/>
    </xf>
    <xf numFmtId="165" fontId="10" fillId="0" borderId="4" xfId="2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65" fontId="10" fillId="0" borderId="5" xfId="2" applyNumberFormat="1" applyFont="1" applyBorder="1" applyAlignment="1">
      <alignment horizontal="center" vertical="center"/>
    </xf>
    <xf numFmtId="1" fontId="7" fillId="0" borderId="14" xfId="0" applyNumberFormat="1" applyFont="1" applyBorder="1"/>
    <xf numFmtId="1" fontId="10" fillId="0" borderId="15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65" fontId="10" fillId="0" borderId="15" xfId="2" applyNumberFormat="1" applyFont="1" applyBorder="1" applyAlignment="1">
      <alignment horizontal="center" vertical="center"/>
    </xf>
    <xf numFmtId="165" fontId="10" fillId="0" borderId="16" xfId="2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165" fontId="14" fillId="0" borderId="0" xfId="2" applyNumberFormat="1" applyFont="1" applyBorder="1" applyAlignment="1">
      <alignment horizontal="center" vertical="center"/>
    </xf>
    <xf numFmtId="165" fontId="14" fillId="0" borderId="5" xfId="2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65" fontId="14" fillId="0" borderId="8" xfId="2" applyNumberFormat="1" applyFont="1" applyBorder="1" applyAlignment="1">
      <alignment horizontal="center" vertical="center"/>
    </xf>
    <xf numFmtId="1" fontId="40" fillId="0" borderId="1" xfId="0" applyNumberFormat="1" applyFont="1" applyBorder="1" applyAlignment="1">
      <alignment horizontal="right"/>
    </xf>
    <xf numFmtId="1" fontId="40" fillId="0" borderId="1" xfId="0" applyNumberFormat="1" applyFont="1" applyBorder="1" applyAlignment="1">
      <alignment horizontal="center" vertical="center"/>
    </xf>
    <xf numFmtId="0" fontId="2" fillId="0" borderId="0" xfId="0" applyFont="1"/>
    <xf numFmtId="165" fontId="40" fillId="0" borderId="1" xfId="2" applyNumberFormat="1" applyFont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165" fontId="19" fillId="0" borderId="0" xfId="2" applyNumberFormat="1" applyFont="1" applyBorder="1" applyAlignment="1">
      <alignment horizontal="center" vertical="center"/>
    </xf>
    <xf numFmtId="165" fontId="19" fillId="0" borderId="4" xfId="2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165" fontId="19" fillId="0" borderId="5" xfId="2" applyNumberFormat="1" applyFont="1" applyBorder="1" applyAlignment="1">
      <alignment horizontal="center" vertical="center"/>
    </xf>
    <xf numFmtId="1" fontId="7" fillId="0" borderId="17" xfId="0" applyNumberFormat="1" applyFont="1" applyBorder="1"/>
    <xf numFmtId="1" fontId="19" fillId="0" borderId="18" xfId="0" applyNumberFormat="1" applyFont="1" applyBorder="1" applyAlignment="1">
      <alignment horizontal="center" vertical="center"/>
    </xf>
    <xf numFmtId="1" fontId="19" fillId="0" borderId="19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65" fontId="19" fillId="0" borderId="18" xfId="2" applyNumberFormat="1" applyFont="1" applyBorder="1" applyAlignment="1">
      <alignment horizontal="center" vertical="center"/>
    </xf>
    <xf numFmtId="165" fontId="19" fillId="0" borderId="19" xfId="2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center" vertical="center"/>
    </xf>
    <xf numFmtId="165" fontId="27" fillId="0" borderId="1" xfId="2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165" fontId="28" fillId="0" borderId="0" xfId="2" applyNumberFormat="1" applyFont="1" applyBorder="1" applyAlignment="1">
      <alignment horizontal="center" vertical="center"/>
    </xf>
    <xf numFmtId="165" fontId="28" fillId="0" borderId="12" xfId="2" applyNumberFormat="1" applyFont="1" applyBorder="1" applyAlignment="1">
      <alignment horizontal="center" vertical="center"/>
    </xf>
    <xf numFmtId="165" fontId="28" fillId="0" borderId="4" xfId="2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165" fontId="28" fillId="0" borderId="5" xfId="2" applyNumberFormat="1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1" fontId="28" fillId="0" borderId="16" xfId="0" applyNumberFormat="1" applyFont="1" applyBorder="1" applyAlignment="1">
      <alignment horizontal="center" vertical="center"/>
    </xf>
    <xf numFmtId="165" fontId="28" fillId="0" borderId="15" xfId="2" applyNumberFormat="1" applyFont="1" applyBorder="1" applyAlignment="1">
      <alignment horizontal="center" vertical="center"/>
    </xf>
    <xf numFmtId="165" fontId="28" fillId="0" borderId="16" xfId="2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165" fontId="25" fillId="0" borderId="1" xfId="2" applyNumberFormat="1" applyFont="1" applyBorder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0" fontId="3" fillId="0" borderId="0" xfId="0" applyNumberFormat="1" applyFont="1" applyAlignment="1" applyProtection="1">
      <alignment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41" fillId="0" borderId="0" xfId="0" applyFont="1" applyAlignment="1" applyProtection="1">
      <alignment horizontal="center" vertical="center"/>
    </xf>
    <xf numFmtId="0" fontId="42" fillId="0" borderId="0" xfId="0" applyFont="1" applyAlignment="1" applyProtection="1">
      <alignment horizontal="right" vertical="center"/>
    </xf>
    <xf numFmtId="0" fontId="43" fillId="0" borderId="0" xfId="0" applyFont="1" applyAlignment="1" applyProtection="1">
      <alignment horizontal="left" vertical="center"/>
    </xf>
    <xf numFmtId="17" fontId="44" fillId="0" borderId="0" xfId="0" applyNumberFormat="1" applyFont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>
      <alignment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" fontId="2" fillId="0" borderId="0" xfId="0" applyNumberFormat="1" applyFont="1" applyAlignment="1">
      <alignment horizontal="center" vertical="center"/>
    </xf>
    <xf numFmtId="166" fontId="26" fillId="2" borderId="1" xfId="0" applyNumberFormat="1" applyFont="1" applyFill="1" applyBorder="1" applyAlignment="1" applyProtection="1">
      <alignment horizontal="center" vertical="center"/>
    </xf>
    <xf numFmtId="0" fontId="46" fillId="0" borderId="0" xfId="0" applyFont="1" applyAlignment="1" applyProtection="1">
      <alignment horizontal="center"/>
    </xf>
    <xf numFmtId="0" fontId="7" fillId="0" borderId="0" xfId="0" applyFont="1" applyFill="1" applyProtection="1"/>
    <xf numFmtId="0" fontId="47" fillId="0" borderId="0" xfId="0" applyFont="1" applyAlignment="1" applyProtection="1">
      <alignment horizontal="right"/>
    </xf>
    <xf numFmtId="0" fontId="48" fillId="0" borderId="13" xfId="0" applyFont="1" applyBorder="1" applyAlignment="1" applyProtection="1">
      <alignment horizontal="center"/>
      <protection locked="0"/>
    </xf>
    <xf numFmtId="0" fontId="49" fillId="0" borderId="13" xfId="0" applyFont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left" vertical="center"/>
    </xf>
    <xf numFmtId="0" fontId="45" fillId="0" borderId="0" xfId="0" applyFont="1" applyFill="1" applyProtection="1"/>
    <xf numFmtId="166" fontId="26" fillId="0" borderId="0" xfId="0" applyNumberFormat="1" applyFont="1" applyFill="1" applyBorder="1" applyAlignment="1" applyProtection="1">
      <alignment horizontal="center" vertical="center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46" fillId="0" borderId="0" xfId="0" applyFont="1" applyFill="1" applyAlignment="1" applyProtection="1">
      <alignment horizontal="center"/>
    </xf>
    <xf numFmtId="1" fontId="5" fillId="0" borderId="0" xfId="0" applyNumberFormat="1" applyFont="1" applyAlignment="1">
      <alignment vertical="center"/>
    </xf>
    <xf numFmtId="1" fontId="2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 applyProtection="1">
      <alignment vertical="center"/>
    </xf>
    <xf numFmtId="1" fontId="0" fillId="0" borderId="0" xfId="0" applyNumberForma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9" fillId="0" borderId="0" xfId="0" applyFont="1" applyProtection="1"/>
    <xf numFmtId="0" fontId="46" fillId="2" borderId="0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wrapText="1"/>
    </xf>
    <xf numFmtId="0" fontId="46" fillId="2" borderId="0" xfId="0" applyFont="1" applyFill="1" applyBorder="1" applyAlignment="1" applyProtection="1">
      <alignment horizontal="center" vertical="center" wrapText="1"/>
    </xf>
    <xf numFmtId="1" fontId="7" fillId="0" borderId="3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horizontal="left" vertical="center"/>
    </xf>
    <xf numFmtId="0" fontId="7" fillId="0" borderId="3" xfId="0" applyNumberFormat="1" applyFont="1" applyBorder="1" applyAlignment="1" applyProtection="1">
      <alignment vertical="center"/>
    </xf>
    <xf numFmtId="167" fontId="10" fillId="0" borderId="0" xfId="0" applyNumberFormat="1" applyFont="1" applyBorder="1" applyAlignment="1" applyProtection="1">
      <alignment horizontal="center" vertical="center"/>
    </xf>
    <xf numFmtId="167" fontId="10" fillId="0" borderId="5" xfId="0" applyNumberFormat="1" applyFont="1" applyBorder="1" applyAlignment="1" applyProtection="1">
      <alignment horizontal="center" vertical="center"/>
    </xf>
    <xf numFmtId="167" fontId="6" fillId="0" borderId="0" xfId="0" applyNumberFormat="1" applyFont="1" applyBorder="1" applyAlignment="1" applyProtection="1">
      <alignment horizontal="center" vertical="center"/>
    </xf>
    <xf numFmtId="0" fontId="7" fillId="0" borderId="0" xfId="0" applyFont="1" applyProtection="1"/>
    <xf numFmtId="1" fontId="14" fillId="0" borderId="20" xfId="0" applyNumberFormat="1" applyFont="1" applyBorder="1" applyAlignment="1">
      <alignment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/>
    </xf>
    <xf numFmtId="1" fontId="14" fillId="0" borderId="22" xfId="0" applyNumberFormat="1" applyFont="1" applyBorder="1" applyAlignment="1">
      <alignment horizontal="center"/>
    </xf>
    <xf numFmtId="1" fontId="22" fillId="0" borderId="21" xfId="0" applyNumberFormat="1" applyFont="1" applyBorder="1" applyAlignment="1">
      <alignment horizontal="left"/>
    </xf>
    <xf numFmtId="0" fontId="14" fillId="0" borderId="20" xfId="0" applyNumberFormat="1" applyFont="1" applyBorder="1" applyAlignment="1" applyProtection="1">
      <alignment vertical="center"/>
    </xf>
    <xf numFmtId="167" fontId="14" fillId="0" borderId="21" xfId="0" applyNumberFormat="1" applyFont="1" applyBorder="1" applyAlignment="1" applyProtection="1">
      <alignment horizontal="center" vertical="center"/>
    </xf>
    <xf numFmtId="167" fontId="14" fillId="0" borderId="21" xfId="0" applyNumberFormat="1" applyFont="1" applyBorder="1" applyAlignment="1" applyProtection="1">
      <alignment horizontal="center"/>
    </xf>
    <xf numFmtId="167" fontId="14" fillId="0" borderId="22" xfId="0" applyNumberFormat="1" applyFont="1" applyBorder="1" applyAlignment="1" applyProtection="1">
      <alignment horizontal="center"/>
    </xf>
    <xf numFmtId="167" fontId="22" fillId="0" borderId="21" xfId="0" applyNumberFormat="1" applyFont="1" applyBorder="1" applyAlignment="1" applyProtection="1">
      <alignment horizontal="center"/>
    </xf>
    <xf numFmtId="167" fontId="7" fillId="0" borderId="0" xfId="0" applyNumberFormat="1" applyFont="1" applyProtection="1"/>
    <xf numFmtId="1" fontId="14" fillId="0" borderId="3" xfId="0" applyNumberFormat="1" applyFont="1" applyBorder="1" applyAlignment="1">
      <alignment vertical="center"/>
    </xf>
    <xf numFmtId="1" fontId="14" fillId="0" borderId="0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22" fillId="0" borderId="0" xfId="0" applyNumberFormat="1" applyFont="1" applyBorder="1" applyAlignment="1">
      <alignment horizontal="left"/>
    </xf>
    <xf numFmtId="0" fontId="14" fillId="0" borderId="3" xfId="0" applyNumberFormat="1" applyFont="1" applyBorder="1" applyAlignment="1" applyProtection="1">
      <alignment vertical="center"/>
    </xf>
    <xf numFmtId="167" fontId="14" fillId="0" borderId="0" xfId="0" applyNumberFormat="1" applyFont="1" applyBorder="1" applyAlignment="1" applyProtection="1">
      <alignment horizontal="center"/>
    </xf>
    <xf numFmtId="167" fontId="14" fillId="0" borderId="5" xfId="0" applyNumberFormat="1" applyFont="1" applyBorder="1" applyAlignment="1" applyProtection="1">
      <alignment horizontal="center"/>
    </xf>
    <xf numFmtId="167" fontId="22" fillId="0" borderId="0" xfId="0" applyNumberFormat="1" applyFont="1" applyBorder="1" applyAlignment="1" applyProtection="1">
      <alignment horizontal="center"/>
    </xf>
    <xf numFmtId="1" fontId="22" fillId="0" borderId="0" xfId="0" applyNumberFormat="1" applyFont="1" applyBorder="1" applyAlignment="1">
      <alignment horizontal="left" vertical="center"/>
    </xf>
    <xf numFmtId="167" fontId="14" fillId="0" borderId="0" xfId="0" applyNumberFormat="1" applyFont="1" applyBorder="1" applyAlignment="1" applyProtection="1">
      <alignment horizontal="center" vertical="center"/>
    </xf>
    <xf numFmtId="167" fontId="14" fillId="0" borderId="8" xfId="0" applyNumberFormat="1" applyFont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/>
    </xf>
    <xf numFmtId="1" fontId="40" fillId="0" borderId="0" xfId="0" applyNumberFormat="1" applyFont="1" applyBorder="1" applyAlignment="1">
      <alignment horizontal="center" vertical="center"/>
    </xf>
    <xf numFmtId="167" fontId="40" fillId="0" borderId="0" xfId="0" applyNumberFormat="1" applyFont="1" applyBorder="1" applyAlignment="1" applyProtection="1">
      <alignment horizontal="center" vertical="center"/>
    </xf>
    <xf numFmtId="1" fontId="40" fillId="0" borderId="1" xfId="0" applyNumberFormat="1" applyFont="1" applyBorder="1" applyAlignment="1">
      <alignment horizontal="right" vertical="center"/>
    </xf>
    <xf numFmtId="0" fontId="40" fillId="0" borderId="1" xfId="0" applyNumberFormat="1" applyFont="1" applyBorder="1" applyAlignment="1" applyProtection="1">
      <alignment horizontal="right" vertical="center"/>
    </xf>
    <xf numFmtId="167" fontId="40" fillId="0" borderId="1" xfId="0" applyNumberFormat="1" applyFont="1" applyBorder="1" applyAlignment="1" applyProtection="1">
      <alignment horizontal="center" vertical="center"/>
    </xf>
    <xf numFmtId="1" fontId="7" fillId="0" borderId="0" xfId="0" applyNumberFormat="1" applyFont="1" applyAlignment="1">
      <alignment vertical="center"/>
    </xf>
    <xf numFmtId="0" fontId="0" fillId="0" borderId="0" xfId="0" applyNumberFormat="1" applyAlignment="1" applyProtection="1">
      <alignment vertical="center"/>
    </xf>
    <xf numFmtId="1" fontId="17" fillId="0" borderId="0" xfId="0" applyNumberFormat="1" applyFont="1" applyAlignment="1">
      <alignment vertical="center"/>
    </xf>
    <xf numFmtId="0" fontId="17" fillId="0" borderId="0" xfId="0" applyNumberFormat="1" applyFont="1" applyAlignment="1" applyProtection="1">
      <alignment vertical="center"/>
    </xf>
    <xf numFmtId="0" fontId="2" fillId="0" borderId="0" xfId="0" applyFont="1" applyProtection="1"/>
    <xf numFmtId="1" fontId="18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 applyProtection="1">
      <alignment horizontal="center" vertical="center"/>
    </xf>
    <xf numFmtId="167" fontId="19" fillId="0" borderId="5" xfId="0" applyNumberFormat="1" applyFont="1" applyBorder="1" applyAlignment="1" applyProtection="1">
      <alignment horizontal="center" vertical="center"/>
    </xf>
    <xf numFmtId="167" fontId="18" fillId="0" borderId="0" xfId="0" applyNumberFormat="1" applyFont="1" applyBorder="1" applyAlignment="1" applyProtection="1">
      <alignment horizontal="center" vertical="center"/>
    </xf>
    <xf numFmtId="1" fontId="27" fillId="0" borderId="1" xfId="0" applyNumberFormat="1" applyFont="1" applyBorder="1" applyAlignment="1">
      <alignment horizontal="right" vertical="center"/>
    </xf>
    <xf numFmtId="0" fontId="27" fillId="0" borderId="1" xfId="0" applyNumberFormat="1" applyFont="1" applyBorder="1" applyAlignment="1" applyProtection="1">
      <alignment horizontal="right" vertical="center"/>
    </xf>
    <xf numFmtId="167" fontId="27" fillId="0" borderId="1" xfId="0" applyNumberFormat="1" applyFont="1" applyBorder="1" applyAlignment="1" applyProtection="1">
      <alignment horizontal="center" vertical="center"/>
    </xf>
    <xf numFmtId="167" fontId="45" fillId="0" borderId="0" xfId="0" applyNumberFormat="1" applyFont="1" applyAlignment="1" applyProtection="1">
      <alignment horizontal="center"/>
    </xf>
    <xf numFmtId="1" fontId="7" fillId="0" borderId="0" xfId="0" applyNumberFormat="1" applyFont="1" applyProtection="1"/>
    <xf numFmtId="1" fontId="45" fillId="0" borderId="0" xfId="0" applyNumberFormat="1" applyFont="1" applyAlignment="1" applyProtection="1">
      <alignment horizontal="center"/>
    </xf>
    <xf numFmtId="0" fontId="15" fillId="0" borderId="0" xfId="0" applyNumberFormat="1" applyFont="1" applyAlignment="1" applyProtection="1">
      <alignment horizontal="center" vertical="center"/>
    </xf>
    <xf numFmtId="2" fontId="15" fillId="0" borderId="0" xfId="0" applyNumberFormat="1" applyFont="1" applyAlignment="1" applyProtection="1">
      <alignment horizontal="center" vertical="center"/>
    </xf>
    <xf numFmtId="165" fontId="15" fillId="0" borderId="0" xfId="2" applyNumberFormat="1" applyFont="1"/>
    <xf numFmtId="0" fontId="4" fillId="0" borderId="0" xfId="0" applyFont="1" applyAlignment="1">
      <alignment horizontal="right"/>
    </xf>
    <xf numFmtId="0" fontId="50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1" fontId="15" fillId="0" borderId="0" xfId="0" applyNumberFormat="1" applyFont="1" applyAlignment="1" applyProtection="1">
      <alignment horizontal="right" vertical="center" wrapText="1"/>
      <protection locked="0"/>
    </xf>
    <xf numFmtId="9" fontId="15" fillId="0" borderId="3" xfId="2" applyNumberFormat="1" applyFont="1" applyBorder="1" applyAlignment="1">
      <alignment horizontal="center"/>
    </xf>
    <xf numFmtId="9" fontId="15" fillId="0" borderId="2" xfId="2" applyNumberFormat="1" applyFont="1" applyBorder="1" applyAlignment="1">
      <alignment horizontal="center"/>
    </xf>
    <xf numFmtId="165" fontId="15" fillId="0" borderId="0" xfId="2" applyNumberFormat="1" applyFont="1" applyAlignment="1">
      <alignment horizontal="center"/>
    </xf>
    <xf numFmtId="1" fontId="15" fillId="0" borderId="0" xfId="0" applyNumberFormat="1" applyFont="1" applyBorder="1" applyAlignment="1" applyProtection="1">
      <alignment horizontal="right" vertical="center" wrapText="1"/>
      <protection locked="0"/>
    </xf>
    <xf numFmtId="168" fontId="15" fillId="0" borderId="5" xfId="0" applyNumberFormat="1" applyFont="1" applyBorder="1" applyAlignment="1" applyProtection="1">
      <alignment horizontal="center"/>
      <protection locked="0"/>
    </xf>
    <xf numFmtId="1" fontId="15" fillId="0" borderId="0" xfId="0" applyNumberFormat="1" applyFont="1" applyAlignment="1" applyProtection="1">
      <alignment horizontal="right"/>
      <protection locked="0"/>
    </xf>
    <xf numFmtId="1" fontId="15" fillId="0" borderId="0" xfId="0" applyNumberFormat="1" applyFont="1" applyBorder="1" applyAlignment="1" applyProtection="1">
      <alignment horizontal="right"/>
      <protection locked="0"/>
    </xf>
    <xf numFmtId="9" fontId="15" fillId="0" borderId="23" xfId="2" applyNumberFormat="1" applyFont="1" applyBorder="1" applyAlignment="1">
      <alignment horizontal="center"/>
    </xf>
    <xf numFmtId="0" fontId="7" fillId="2" borderId="2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9" fontId="9" fillId="0" borderId="24" xfId="0" applyNumberFormat="1" applyFont="1" applyBorder="1"/>
    <xf numFmtId="9" fontId="39" fillId="0" borderId="11" xfId="2" applyNumberFormat="1" applyFont="1" applyBorder="1" applyAlignment="1">
      <alignment horizontal="center"/>
    </xf>
    <xf numFmtId="9" fontId="39" fillId="0" borderId="12" xfId="2" applyNumberFormat="1" applyFont="1" applyBorder="1" applyAlignment="1">
      <alignment horizontal="center"/>
    </xf>
    <xf numFmtId="9" fontId="39" fillId="0" borderId="4" xfId="2" applyNumberFormat="1" applyFont="1" applyBorder="1" applyAlignment="1">
      <alignment horizontal="center"/>
    </xf>
    <xf numFmtId="168" fontId="4" fillId="0" borderId="0" xfId="0" applyNumberFormat="1" applyFont="1"/>
    <xf numFmtId="169" fontId="8" fillId="0" borderId="0" xfId="0" applyNumberFormat="1" applyFont="1" applyBorder="1"/>
    <xf numFmtId="168" fontId="45" fillId="0" borderId="5" xfId="0" applyNumberFormat="1" applyFont="1" applyBorder="1" applyAlignment="1">
      <alignment horizontal="center"/>
    </xf>
    <xf numFmtId="168" fontId="15" fillId="0" borderId="4" xfId="0" applyNumberFormat="1" applyFont="1" applyBorder="1" applyAlignment="1">
      <alignment horizontal="center"/>
    </xf>
    <xf numFmtId="0" fontId="0" fillId="0" borderId="0" xfId="0" applyFont="1"/>
    <xf numFmtId="169" fontId="9" fillId="0" borderId="2" xfId="0" applyNumberFormat="1" applyFont="1" applyBorder="1"/>
    <xf numFmtId="9" fontId="39" fillId="0" borderId="3" xfId="2" applyNumberFormat="1" applyFont="1" applyBorder="1" applyAlignment="1">
      <alignment horizontal="center"/>
    </xf>
    <xf numFmtId="9" fontId="39" fillId="0" borderId="0" xfId="2" applyNumberFormat="1" applyFont="1" applyBorder="1" applyAlignment="1">
      <alignment horizontal="center"/>
    </xf>
    <xf numFmtId="9" fontId="39" fillId="0" borderId="5" xfId="2" applyNumberFormat="1" applyFont="1" applyBorder="1" applyAlignment="1">
      <alignment horizontal="center"/>
    </xf>
    <xf numFmtId="168" fontId="15" fillId="0" borderId="5" xfId="0" applyNumberFormat="1" applyFont="1" applyBorder="1" applyAlignment="1">
      <alignment horizontal="center"/>
    </xf>
    <xf numFmtId="169" fontId="9" fillId="0" borderId="25" xfId="0" applyNumberFormat="1" applyFont="1" applyBorder="1"/>
    <xf numFmtId="9" fontId="39" fillId="0" borderId="17" xfId="2" applyNumberFormat="1" applyFont="1" applyBorder="1" applyAlignment="1">
      <alignment horizontal="center"/>
    </xf>
    <xf numFmtId="9" fontId="39" fillId="0" borderId="18" xfId="2" applyNumberFormat="1" applyFont="1" applyBorder="1" applyAlignment="1">
      <alignment horizontal="center"/>
    </xf>
    <xf numFmtId="9" fontId="39" fillId="0" borderId="19" xfId="2" applyNumberFormat="1" applyFont="1" applyBorder="1" applyAlignment="1">
      <alignment horizontal="center"/>
    </xf>
    <xf numFmtId="165" fontId="15" fillId="0" borderId="18" xfId="2" applyNumberFormat="1" applyFont="1" applyBorder="1"/>
    <xf numFmtId="168" fontId="4" fillId="0" borderId="18" xfId="0" applyNumberFormat="1" applyFont="1" applyBorder="1"/>
    <xf numFmtId="169" fontId="8" fillId="0" borderId="18" xfId="0" applyNumberFormat="1" applyFont="1" applyBorder="1"/>
    <xf numFmtId="168" fontId="45" fillId="0" borderId="19" xfId="0" applyNumberFormat="1" applyFont="1" applyBorder="1" applyAlignment="1">
      <alignment horizontal="center"/>
    </xf>
    <xf numFmtId="168" fontId="15" fillId="0" borderId="19" xfId="0" applyNumberFormat="1" applyFont="1" applyBorder="1" applyAlignment="1">
      <alignment horizontal="center"/>
    </xf>
    <xf numFmtId="0" fontId="0" fillId="0" borderId="18" xfId="0" applyFont="1" applyBorder="1"/>
    <xf numFmtId="168" fontId="15" fillId="0" borderId="0" xfId="0" applyNumberFormat="1" applyFont="1"/>
    <xf numFmtId="168" fontId="46" fillId="0" borderId="5" xfId="0" applyNumberFormat="1" applyFont="1" applyBorder="1" applyAlignment="1">
      <alignment horizontal="center"/>
    </xf>
    <xf numFmtId="0" fontId="41" fillId="0" borderId="0" xfId="0" applyFont="1"/>
    <xf numFmtId="169" fontId="9" fillId="0" borderId="23" xfId="0" applyNumberFormat="1" applyFont="1" applyBorder="1"/>
    <xf numFmtId="9" fontId="39" fillId="0" borderId="6" xfId="2" applyNumberFormat="1" applyFont="1" applyBorder="1" applyAlignment="1">
      <alignment horizontal="center"/>
    </xf>
    <xf numFmtId="9" fontId="39" fillId="0" borderId="7" xfId="2" applyNumberFormat="1" applyFont="1" applyBorder="1" applyAlignment="1">
      <alignment horizontal="center"/>
    </xf>
    <xf numFmtId="9" fontId="39" fillId="0" borderId="8" xfId="2" applyNumberFormat="1" applyFont="1" applyBorder="1" applyAlignment="1">
      <alignment horizontal="center"/>
    </xf>
    <xf numFmtId="168" fontId="46" fillId="0" borderId="8" xfId="0" applyNumberFormat="1" applyFon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0" fontId="16" fillId="0" borderId="0" xfId="0" applyFont="1" applyBorder="1"/>
    <xf numFmtId="0" fontId="30" fillId="2" borderId="1" xfId="0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166" fontId="15" fillId="2" borderId="9" xfId="0" applyNumberFormat="1" applyFont="1" applyFill="1" applyBorder="1" applyAlignment="1">
      <alignment horizontal="center" vertical="center" wrapText="1"/>
    </xf>
    <xf numFmtId="168" fontId="15" fillId="0" borderId="2" xfId="0" applyNumberFormat="1" applyFont="1" applyBorder="1" applyAlignment="1" applyProtection="1">
      <alignment horizontal="center"/>
      <protection locked="0"/>
    </xf>
    <xf numFmtId="168" fontId="15" fillId="0" borderId="23" xfId="0" applyNumberFormat="1" applyFont="1" applyBorder="1" applyAlignment="1" applyProtection="1">
      <alignment horizontal="center"/>
      <protection locked="0"/>
    </xf>
    <xf numFmtId="9" fontId="39" fillId="0" borderId="24" xfId="2" applyNumberFormat="1" applyFont="1" applyBorder="1" applyAlignment="1">
      <alignment horizontal="center"/>
    </xf>
    <xf numFmtId="1" fontId="45" fillId="0" borderId="5" xfId="0" applyNumberFormat="1" applyFont="1" applyBorder="1" applyAlignment="1">
      <alignment horizontal="center"/>
    </xf>
    <xf numFmtId="9" fontId="39" fillId="0" borderId="2" xfId="2" applyNumberFormat="1" applyFont="1" applyBorder="1" applyAlignment="1">
      <alignment horizontal="center"/>
    </xf>
    <xf numFmtId="9" fontId="39" fillId="0" borderId="25" xfId="2" applyNumberFormat="1" applyFont="1" applyBorder="1" applyAlignment="1">
      <alignment horizontal="center"/>
    </xf>
    <xf numFmtId="0" fontId="4" fillId="0" borderId="18" xfId="0" applyFont="1" applyBorder="1"/>
    <xf numFmtId="1" fontId="45" fillId="0" borderId="19" xfId="0" applyNumberFormat="1" applyFont="1" applyBorder="1" applyAlignment="1">
      <alignment horizontal="center"/>
    </xf>
    <xf numFmtId="0" fontId="15" fillId="0" borderId="0" xfId="0" applyFont="1"/>
    <xf numFmtId="9" fontId="39" fillId="0" borderId="23" xfId="2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center"/>
    </xf>
    <xf numFmtId="0" fontId="53" fillId="2" borderId="1" xfId="0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168" fontId="54" fillId="0" borderId="12" xfId="0" applyNumberFormat="1" applyFont="1" applyBorder="1" applyAlignment="1">
      <alignment horizontal="center"/>
    </xf>
    <xf numFmtId="168" fontId="54" fillId="0" borderId="4" xfId="0" applyNumberFormat="1" applyFont="1" applyBorder="1" applyAlignment="1">
      <alignment horizontal="center"/>
    </xf>
    <xf numFmtId="0" fontId="0" fillId="0" borderId="3" xfId="0" applyBorder="1"/>
    <xf numFmtId="1" fontId="55" fillId="0" borderId="0" xfId="0" applyNumberFormat="1" applyFont="1" applyBorder="1" applyAlignment="1">
      <alignment horizontal="center"/>
    </xf>
    <xf numFmtId="1" fontId="55" fillId="0" borderId="5" xfId="0" applyNumberFormat="1" applyFont="1" applyBorder="1" applyAlignment="1">
      <alignment horizontal="center"/>
    </xf>
    <xf numFmtId="0" fontId="0" fillId="0" borderId="6" xfId="0" applyBorder="1"/>
    <xf numFmtId="165" fontId="55" fillId="0" borderId="7" xfId="2" applyNumberFormat="1" applyFont="1" applyBorder="1" applyAlignment="1">
      <alignment horizontal="center"/>
    </xf>
    <xf numFmtId="165" fontId="55" fillId="0" borderId="7" xfId="0" applyNumberFormat="1" applyFont="1" applyBorder="1" applyAlignment="1">
      <alignment horizontal="center"/>
    </xf>
    <xf numFmtId="165" fontId="55" fillId="0" borderId="8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right"/>
    </xf>
    <xf numFmtId="1" fontId="55" fillId="0" borderId="12" xfId="0" applyNumberFormat="1" applyFont="1" applyBorder="1" applyAlignment="1">
      <alignment horizontal="center"/>
    </xf>
    <xf numFmtId="0" fontId="56" fillId="0" borderId="3" xfId="0" applyFont="1" applyBorder="1" applyAlignment="1">
      <alignment horizontal="right"/>
    </xf>
    <xf numFmtId="1" fontId="57" fillId="0" borderId="0" xfId="0" applyNumberFormat="1" applyFont="1" applyBorder="1" applyAlignment="1">
      <alignment horizontal="center"/>
    </xf>
    <xf numFmtId="0" fontId="0" fillId="0" borderId="6" xfId="0" applyFont="1" applyBorder="1" applyAlignment="1">
      <alignment horizontal="right"/>
    </xf>
    <xf numFmtId="1" fontId="55" fillId="0" borderId="7" xfId="0" applyNumberFormat="1" applyFont="1" applyBorder="1" applyAlignment="1">
      <alignment horizontal="center"/>
    </xf>
    <xf numFmtId="0" fontId="33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1" fontId="15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58" fillId="0" borderId="3" xfId="0" applyFont="1" applyBorder="1" applyAlignment="1">
      <alignment horizontal="right"/>
    </xf>
    <xf numFmtId="1" fontId="15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54" fillId="0" borderId="12" xfId="2" applyNumberFormat="1" applyFont="1" applyBorder="1" applyAlignment="1">
      <alignment horizontal="center"/>
    </xf>
    <xf numFmtId="165" fontId="54" fillId="0" borderId="4" xfId="2" applyNumberFormat="1" applyFont="1" applyBorder="1" applyAlignment="1">
      <alignment horizontal="center"/>
    </xf>
    <xf numFmtId="165" fontId="55" fillId="0" borderId="0" xfId="2" applyNumberFormat="1" applyFont="1" applyBorder="1" applyAlignment="1">
      <alignment horizontal="center"/>
    </xf>
    <xf numFmtId="165" fontId="55" fillId="0" borderId="5" xfId="2" applyNumberFormat="1" applyFont="1" applyBorder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165" fontId="55" fillId="0" borderId="12" xfId="2" applyNumberFormat="1" applyFont="1" applyBorder="1" applyAlignment="1">
      <alignment horizontal="center"/>
    </xf>
    <xf numFmtId="165" fontId="55" fillId="0" borderId="12" xfId="0" applyNumberFormat="1" applyFont="1" applyBorder="1" applyAlignment="1">
      <alignment horizontal="center"/>
    </xf>
    <xf numFmtId="165" fontId="55" fillId="0" borderId="4" xfId="0" applyNumberFormat="1" applyFont="1" applyBorder="1" applyAlignment="1">
      <alignment horizontal="center"/>
    </xf>
    <xf numFmtId="0" fontId="46" fillId="2" borderId="6" xfId="0" applyFont="1" applyFill="1" applyBorder="1" applyAlignment="1">
      <alignment horizontal="center" vertical="center" wrapText="1"/>
    </xf>
    <xf numFmtId="165" fontId="40" fillId="0" borderId="7" xfId="2" applyNumberFormat="1" applyFont="1" applyBorder="1" applyAlignment="1">
      <alignment horizontal="center"/>
    </xf>
    <xf numFmtId="165" fontId="40" fillId="0" borderId="7" xfId="0" applyNumberFormat="1" applyFont="1" applyBorder="1" applyAlignment="1">
      <alignment horizontal="center"/>
    </xf>
    <xf numFmtId="165" fontId="40" fillId="0" borderId="8" xfId="0" applyNumberFormat="1" applyFont="1" applyBorder="1" applyAlignment="1">
      <alignment horizontal="center"/>
    </xf>
    <xf numFmtId="0" fontId="46" fillId="0" borderId="0" xfId="0" applyFont="1" applyFill="1" applyBorder="1" applyAlignment="1">
      <alignment horizontal="left" vertical="center"/>
    </xf>
    <xf numFmtId="0" fontId="45" fillId="0" borderId="0" xfId="0" applyFont="1"/>
    <xf numFmtId="1" fontId="60" fillId="0" borderId="5" xfId="0" applyNumberFormat="1" applyFont="1" applyBorder="1" applyAlignment="1">
      <alignment horizontal="center"/>
    </xf>
    <xf numFmtId="1" fontId="41" fillId="0" borderId="5" xfId="0" applyNumberFormat="1" applyFont="1" applyBorder="1" applyAlignment="1">
      <alignment horizontal="center"/>
    </xf>
    <xf numFmtId="1" fontId="41" fillId="0" borderId="8" xfId="0" applyNumberFormat="1" applyFont="1" applyBorder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" fontId="41" fillId="0" borderId="3" xfId="0" applyNumberFormat="1" applyFont="1" applyBorder="1" applyAlignment="1">
      <alignment horizontal="center"/>
    </xf>
    <xf numFmtId="1" fontId="60" fillId="0" borderId="3" xfId="0" applyNumberFormat="1" applyFont="1" applyBorder="1" applyAlignment="1">
      <alignment horizontal="center"/>
    </xf>
    <xf numFmtId="1" fontId="41" fillId="0" borderId="6" xfId="0" applyNumberFormat="1" applyFont="1" applyBorder="1" applyAlignment="1">
      <alignment horizontal="center"/>
    </xf>
    <xf numFmtId="1" fontId="61" fillId="0" borderId="0" xfId="0" applyNumberFormat="1" applyFont="1" applyBorder="1" applyAlignment="1">
      <alignment horizontal="center"/>
    </xf>
    <xf numFmtId="10" fontId="15" fillId="0" borderId="0" xfId="2" applyNumberFormat="1" applyFont="1" applyBorder="1" applyAlignment="1">
      <alignment horizontal="center"/>
    </xf>
    <xf numFmtId="10" fontId="55" fillId="0" borderId="12" xfId="2" applyNumberFormat="1" applyFont="1" applyBorder="1" applyAlignment="1">
      <alignment horizontal="center"/>
    </xf>
    <xf numFmtId="10" fontId="41" fillId="0" borderId="3" xfId="2" applyNumberFormat="1" applyFont="1" applyBorder="1" applyAlignment="1">
      <alignment horizontal="center"/>
    </xf>
    <xf numFmtId="10" fontId="41" fillId="0" borderId="5" xfId="2" applyNumberFormat="1" applyFont="1" applyBorder="1" applyAlignment="1">
      <alignment horizontal="center"/>
    </xf>
    <xf numFmtId="10" fontId="55" fillId="0" borderId="0" xfId="2" applyNumberFormat="1" applyFont="1" applyBorder="1" applyAlignment="1">
      <alignment horizontal="center"/>
    </xf>
    <xf numFmtId="10" fontId="55" fillId="0" borderId="7" xfId="2" applyNumberFormat="1" applyFont="1" applyBorder="1" applyAlignment="1">
      <alignment horizontal="center"/>
    </xf>
    <xf numFmtId="10" fontId="41" fillId="0" borderId="6" xfId="2" applyNumberFormat="1" applyFont="1" applyBorder="1" applyAlignment="1">
      <alignment horizontal="center"/>
    </xf>
    <xf numFmtId="10" fontId="41" fillId="0" borderId="8" xfId="2" applyNumberFormat="1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0" fontId="53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1" fontId="39" fillId="2" borderId="23" xfId="0" applyNumberFormat="1" applyFont="1" applyFill="1" applyBorder="1" applyAlignment="1">
      <alignment horizontal="center" vertical="center" wrapText="1"/>
    </xf>
    <xf numFmtId="1" fontId="39" fillId="2" borderId="24" xfId="0" applyNumberFormat="1" applyFont="1" applyFill="1" applyBorder="1" applyAlignment="1">
      <alignment horizontal="center" vertical="center" wrapText="1"/>
    </xf>
    <xf numFmtId="1" fontId="39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39" fillId="2" borderId="23" xfId="0" applyNumberFormat="1" applyFont="1" applyFill="1" applyBorder="1" applyAlignment="1">
      <alignment horizontal="center"/>
    </xf>
    <xf numFmtId="0" fontId="39" fillId="2" borderId="24" xfId="0" applyFont="1" applyFill="1" applyBorder="1" applyAlignment="1">
      <alignment horizontal="center"/>
    </xf>
    <xf numFmtId="170" fontId="15" fillId="0" borderId="11" xfId="0" applyNumberFormat="1" applyFont="1" applyBorder="1" applyAlignment="1">
      <alignment horizontal="center"/>
    </xf>
    <xf numFmtId="170" fontId="15" fillId="0" borderId="4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/>
    </xf>
    <xf numFmtId="170" fontId="15" fillId="0" borderId="5" xfId="0" applyNumberFormat="1" applyFont="1" applyBorder="1" applyAlignment="1">
      <alignment horizontal="center"/>
    </xf>
    <xf numFmtId="170" fontId="15" fillId="0" borderId="6" xfId="0" applyNumberFormat="1" applyFont="1" applyBorder="1" applyAlignment="1">
      <alignment horizontal="center"/>
    </xf>
    <xf numFmtId="170" fontId="15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70" fontId="9" fillId="0" borderId="11" xfId="0" applyNumberFormat="1" applyFont="1" applyBorder="1" applyAlignment="1">
      <alignment horizontal="center"/>
    </xf>
    <xf numFmtId="170" fontId="9" fillId="0" borderId="12" xfId="0" applyNumberFormat="1" applyFont="1" applyBorder="1" applyAlignment="1">
      <alignment horizontal="center"/>
    </xf>
    <xf numFmtId="170" fontId="9" fillId="0" borderId="3" xfId="0" applyNumberFormat="1" applyFont="1" applyBorder="1" applyAlignment="1">
      <alignment horizontal="center"/>
    </xf>
    <xf numFmtId="170" fontId="9" fillId="0" borderId="0" xfId="0" applyNumberFormat="1" applyFont="1" applyBorder="1" applyAlignment="1">
      <alignment horizontal="center"/>
    </xf>
    <xf numFmtId="170" fontId="9" fillId="0" borderId="6" xfId="0" applyNumberFormat="1" applyFont="1" applyBorder="1" applyAlignment="1">
      <alignment horizontal="center"/>
    </xf>
    <xf numFmtId="170" fontId="9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165" fontId="55" fillId="0" borderId="2" xfId="2" applyNumberFormat="1" applyFont="1" applyBorder="1" applyAlignment="1">
      <alignment horizontal="center"/>
    </xf>
    <xf numFmtId="165" fontId="55" fillId="0" borderId="23" xfId="2" applyNumberFormat="1" applyFont="1" applyBorder="1" applyAlignment="1">
      <alignment horizontal="center"/>
    </xf>
    <xf numFmtId="165" fontId="40" fillId="0" borderId="2" xfId="2" applyNumberFormat="1" applyFont="1" applyBorder="1" applyAlignment="1">
      <alignment horizontal="center"/>
    </xf>
    <xf numFmtId="165" fontId="40" fillId="0" borderId="24" xfId="2" applyNumberFormat="1" applyFont="1" applyBorder="1" applyAlignment="1">
      <alignment horizontal="center"/>
    </xf>
    <xf numFmtId="165" fontId="55" fillId="0" borderId="24" xfId="2" applyNumberFormat="1" applyFont="1" applyBorder="1" applyAlignment="1">
      <alignment horizontal="center"/>
    </xf>
    <xf numFmtId="1" fontId="63" fillId="0" borderId="5" xfId="0" applyNumberFormat="1" applyFont="1" applyBorder="1" applyAlignment="1">
      <alignment horizontal="center"/>
    </xf>
    <xf numFmtId="1" fontId="63" fillId="0" borderId="8" xfId="0" applyNumberFormat="1" applyFont="1" applyBorder="1" applyAlignment="1">
      <alignment horizontal="center"/>
    </xf>
    <xf numFmtId="1" fontId="63" fillId="0" borderId="4" xfId="0" applyNumberFormat="1" applyFont="1" applyBorder="1" applyAlignment="1">
      <alignment horizontal="center"/>
    </xf>
    <xf numFmtId="166" fontId="14" fillId="0" borderId="24" xfId="0" applyNumberFormat="1" applyFont="1" applyBorder="1" applyAlignment="1" applyProtection="1">
      <alignment horizontal="center" vertical="center"/>
    </xf>
    <xf numFmtId="166" fontId="14" fillId="0" borderId="2" xfId="0" applyNumberFormat="1" applyFont="1" applyBorder="1" applyAlignment="1" applyProtection="1">
      <alignment horizontal="center" vertical="center"/>
    </xf>
    <xf numFmtId="166" fontId="14" fillId="0" borderId="23" xfId="0" applyNumberFormat="1" applyFont="1" applyBorder="1" applyAlignment="1" applyProtection="1">
      <alignment horizontal="center" vertical="center"/>
    </xf>
    <xf numFmtId="170" fontId="63" fillId="0" borderId="4" xfId="0" applyNumberFormat="1" applyFont="1" applyBorder="1" applyAlignment="1">
      <alignment horizontal="center"/>
    </xf>
    <xf numFmtId="170" fontId="63" fillId="0" borderId="5" xfId="0" applyNumberFormat="1" applyFont="1" applyBorder="1" applyAlignment="1">
      <alignment horizontal="center"/>
    </xf>
    <xf numFmtId="170" fontId="63" fillId="0" borderId="8" xfId="0" applyNumberFormat="1" applyFont="1" applyBorder="1" applyAlignment="1">
      <alignment horizontal="center"/>
    </xf>
    <xf numFmtId="1" fontId="62" fillId="0" borderId="4" xfId="0" applyNumberFormat="1" applyFont="1" applyBorder="1" applyAlignment="1">
      <alignment horizontal="center"/>
    </xf>
    <xf numFmtId="1" fontId="62" fillId="0" borderId="5" xfId="0" applyNumberFormat="1" applyFont="1" applyBorder="1" applyAlignment="1">
      <alignment horizontal="center"/>
    </xf>
    <xf numFmtId="1" fontId="62" fillId="0" borderId="8" xfId="0" applyNumberFormat="1" applyFont="1" applyBorder="1" applyAlignment="1">
      <alignment horizontal="center"/>
    </xf>
    <xf numFmtId="1" fontId="62" fillId="0" borderId="0" xfId="0" applyNumberFormat="1" applyFont="1" applyBorder="1" applyAlignment="1">
      <alignment horizontal="center"/>
    </xf>
    <xf numFmtId="0" fontId="62" fillId="0" borderId="0" xfId="0" applyFont="1" applyAlignment="1">
      <alignment horizontal="right"/>
    </xf>
    <xf numFmtId="167" fontId="55" fillId="0" borderId="12" xfId="0" applyNumberFormat="1" applyFont="1" applyBorder="1" applyAlignment="1">
      <alignment horizontal="center"/>
    </xf>
    <xf numFmtId="167" fontId="41" fillId="0" borderId="3" xfId="0" applyNumberFormat="1" applyFont="1" applyBorder="1" applyAlignment="1">
      <alignment horizontal="center"/>
    </xf>
    <xf numFmtId="167" fontId="41" fillId="0" borderId="5" xfId="0" applyNumberFormat="1" applyFont="1" applyBorder="1" applyAlignment="1">
      <alignment horizontal="center"/>
    </xf>
    <xf numFmtId="167" fontId="57" fillId="0" borderId="0" xfId="0" applyNumberFormat="1" applyFont="1" applyBorder="1" applyAlignment="1">
      <alignment horizontal="center"/>
    </xf>
    <xf numFmtId="167" fontId="55" fillId="0" borderId="0" xfId="0" applyNumberFormat="1" applyFont="1" applyBorder="1" applyAlignment="1">
      <alignment horizontal="center"/>
    </xf>
    <xf numFmtId="167" fontId="60" fillId="0" borderId="3" xfId="0" applyNumberFormat="1" applyFont="1" applyBorder="1" applyAlignment="1">
      <alignment horizontal="center"/>
    </xf>
    <xf numFmtId="167" fontId="60" fillId="0" borderId="5" xfId="0" applyNumberFormat="1" applyFont="1" applyBorder="1" applyAlignment="1">
      <alignment horizontal="center"/>
    </xf>
    <xf numFmtId="167" fontId="55" fillId="0" borderId="7" xfId="0" applyNumberFormat="1" applyFont="1" applyBorder="1" applyAlignment="1">
      <alignment horizontal="center"/>
    </xf>
    <xf numFmtId="167" fontId="41" fillId="0" borderId="6" xfId="0" applyNumberFormat="1" applyFont="1" applyBorder="1" applyAlignment="1">
      <alignment horizontal="center"/>
    </xf>
    <xf numFmtId="167" fontId="41" fillId="0" borderId="8" xfId="0" applyNumberFormat="1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1" fontId="62" fillId="2" borderId="2" xfId="0" applyNumberFormat="1" applyFont="1" applyFill="1" applyBorder="1" applyAlignment="1">
      <alignment horizontal="center" wrapText="1"/>
    </xf>
    <xf numFmtId="1" fontId="62" fillId="2" borderId="23" xfId="0" applyNumberFormat="1" applyFont="1" applyFill="1" applyBorder="1" applyAlignment="1">
      <alignment horizontal="center" wrapText="1"/>
    </xf>
    <xf numFmtId="0" fontId="41" fillId="2" borderId="24" xfId="0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/>
    </xf>
    <xf numFmtId="1" fontId="29" fillId="2" borderId="9" xfId="0" applyNumberFormat="1" applyFont="1" applyFill="1" applyBorder="1" applyAlignment="1">
      <alignment horizontal="right" vertical="center"/>
    </xf>
    <xf numFmtId="1" fontId="29" fillId="2" borderId="10" xfId="0" applyNumberFormat="1" applyFont="1" applyFill="1" applyBorder="1" applyAlignment="1">
      <alignment horizontal="right" vertical="center"/>
    </xf>
    <xf numFmtId="1" fontId="9" fillId="2" borderId="7" xfId="0" applyNumberFormat="1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left" vertical="center"/>
    </xf>
    <xf numFmtId="1" fontId="9" fillId="2" borderId="7" xfId="0" applyNumberFormat="1" applyFont="1" applyFill="1" applyBorder="1" applyAlignment="1">
      <alignment horizontal="left" vertical="center"/>
    </xf>
    <xf numFmtId="1" fontId="59" fillId="2" borderId="9" xfId="0" applyNumberFormat="1" applyFont="1" applyFill="1" applyBorder="1" applyAlignment="1">
      <alignment horizontal="right" vertical="center"/>
    </xf>
    <xf numFmtId="1" fontId="59" fillId="2" borderId="10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1" fontId="62" fillId="0" borderId="12" xfId="0" applyNumberFormat="1" applyFont="1" applyBorder="1" applyAlignment="1">
      <alignment horizontal="center"/>
    </xf>
    <xf numFmtId="1" fontId="62" fillId="0" borderId="1" xfId="0" applyNumberFormat="1" applyFont="1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107"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%'!$A$5</c:f>
          <c:strCache>
            <c:ptCount val="1"/>
            <c:pt idx="0">
              <c:v>Perte salissure 2022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%'!$B$5:$P$5</c:f>
              <c:numCache>
                <c:formatCode>0.0%</c:formatCode>
                <c:ptCount val="15"/>
                <c:pt idx="0">
                  <c:v>8.2066513585501252E-2</c:v>
                </c:pt>
                <c:pt idx="1">
                  <c:v>7.1997045409124799E-2</c:v>
                </c:pt>
                <c:pt idx="2">
                  <c:v>4.0878522946332305E-2</c:v>
                </c:pt>
                <c:pt idx="3">
                  <c:v>4.1274884496331612E-2</c:v>
                </c:pt>
                <c:pt idx="4">
                  <c:v>0.10814025260464089</c:v>
                </c:pt>
                <c:pt idx="5">
                  <c:v>9.150835972314636E-2</c:v>
                </c:pt>
                <c:pt idx="6">
                  <c:v>0.13972581590977767</c:v>
                </c:pt>
                <c:pt idx="7">
                  <c:v>3.0156458155402827E-2</c:v>
                </c:pt>
                <c:pt idx="8">
                  <c:v>3.4950554449981144E-2</c:v>
                </c:pt>
                <c:pt idx="9">
                  <c:v>4.3468339145651673E-2</c:v>
                </c:pt>
                <c:pt idx="10">
                  <c:v>2.5499195570433755E-2</c:v>
                </c:pt>
                <c:pt idx="11">
                  <c:v>1.9095836738424476E-2</c:v>
                </c:pt>
                <c:pt idx="12">
                  <c:v>4.1707658943991616E-2</c:v>
                </c:pt>
                <c:pt idx="13">
                  <c:v>2.0742102046489776E-2</c:v>
                </c:pt>
                <c:pt idx="14">
                  <c:v>1.4934919672471136E-2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993600"/>
        <c:axId val="193629224"/>
      </c:barChart>
      <c:catAx>
        <c:axId val="19299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629224"/>
        <c:crosses val="autoZero"/>
        <c:auto val="1"/>
        <c:lblAlgn val="ctr"/>
        <c:lblOffset val="100"/>
        <c:noMultiLvlLbl val="0"/>
      </c:catAx>
      <c:valAx>
        <c:axId val="193629224"/>
        <c:scaling>
          <c:orientation val="minMax"/>
          <c:max val="0.1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99360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%'!$A$6</c:f>
          <c:strCache>
            <c:ptCount val="1"/>
            <c:pt idx="0">
              <c:v>Gain instantanné nettoyage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4558180227471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%'!$B$6:$P$6</c:f>
              <c:numCache>
                <c:formatCode>0.0%</c:formatCode>
                <c:ptCount val="15"/>
                <c:pt idx="0">
                  <c:v>9.2374320811537389E-2</c:v>
                </c:pt>
                <c:pt idx="1">
                  <c:v>7.6966161784992645E-2</c:v>
                </c:pt>
                <c:pt idx="2">
                  <c:v>4.1728153322544911E-2</c:v>
                </c:pt>
                <c:pt idx="3">
                  <c:v>5.1744622120926613E-2</c:v>
                </c:pt>
                <c:pt idx="4">
                  <c:v>9.5363472841258151E-2</c:v>
                </c:pt>
                <c:pt idx="5">
                  <c:v>9.5265982743073477E-2</c:v>
                </c:pt>
                <c:pt idx="6">
                  <c:v>0.10287433262255685</c:v>
                </c:pt>
                <c:pt idx="7">
                  <c:v>7.8261019105572857E-2</c:v>
                </c:pt>
                <c:pt idx="8">
                  <c:v>7.7380301204591356E-2</c:v>
                </c:pt>
                <c:pt idx="9">
                  <c:v>0.1076176218294741</c:v>
                </c:pt>
                <c:pt idx="10">
                  <c:v>3.6006653894440396E-2</c:v>
                </c:pt>
                <c:pt idx="11">
                  <c:v>4.5103415520396845E-2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012344"/>
        <c:axId val="194012728"/>
      </c:barChart>
      <c:catAx>
        <c:axId val="194012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012728"/>
        <c:crosses val="autoZero"/>
        <c:auto val="1"/>
        <c:lblAlgn val="ctr"/>
        <c:lblOffset val="100"/>
        <c:noMultiLvlLbl val="0"/>
      </c:catAx>
      <c:valAx>
        <c:axId val="194012728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012344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%'!$A$4</c:f>
          <c:strCache>
            <c:ptCount val="1"/>
            <c:pt idx="0">
              <c:v>Masquage végé. 2022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%'!$B$4:$P$4</c:f>
              <c:numCache>
                <c:formatCode>0.0%</c:formatCode>
                <c:ptCount val="15"/>
                <c:pt idx="0">
                  <c:v>4.3637206482691517E-3</c:v>
                </c:pt>
                <c:pt idx="1">
                  <c:v>1.7028019052896266E-3</c:v>
                </c:pt>
                <c:pt idx="2">
                  <c:v>2.6741741248463818E-4</c:v>
                </c:pt>
                <c:pt idx="3">
                  <c:v>8.4619993581648337E-5</c:v>
                </c:pt>
                <c:pt idx="4">
                  <c:v>1.7508403757723176E-3</c:v>
                </c:pt>
                <c:pt idx="5">
                  <c:v>4.8886297070358637E-4</c:v>
                </c:pt>
                <c:pt idx="6">
                  <c:v>9.6013416817634055E-3</c:v>
                </c:pt>
                <c:pt idx="7">
                  <c:v>3.1600389036704536E-3</c:v>
                </c:pt>
                <c:pt idx="8">
                  <c:v>5.7934176781997777E-4</c:v>
                </c:pt>
                <c:pt idx="9">
                  <c:v>2.9469959024322126E-5</c:v>
                </c:pt>
                <c:pt idx="10">
                  <c:v>1.4061788759785723E-5</c:v>
                </c:pt>
                <c:pt idx="11">
                  <c:v>1.2343979656983357E-4</c:v>
                </c:pt>
                <c:pt idx="12">
                  <c:v>9.7389982502581092E-6</c:v>
                </c:pt>
                <c:pt idx="13">
                  <c:v>4.0972298304039836E-5</c:v>
                </c:pt>
                <c:pt idx="14">
                  <c:v>1.224006221423847E-4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350384"/>
        <c:axId val="193333832"/>
      </c:barChart>
      <c:catAx>
        <c:axId val="19435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333832"/>
        <c:crosses val="autoZero"/>
        <c:auto val="1"/>
        <c:lblAlgn val="ctr"/>
        <c:lblOffset val="100"/>
        <c:noMultiLvlLbl val="0"/>
      </c:catAx>
      <c:valAx>
        <c:axId val="193333832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5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%'!$A$24</c:f>
          <c:strCache>
            <c:ptCount val="1"/>
            <c:pt idx="0">
              <c:v>Résidu nettoyage / Gain+résidu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%'!$B$22:$P$22</c:f>
              <c:strCache>
                <c:ptCount val="15"/>
                <c:pt idx="0">
                  <c:v>Aureville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Escalquens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%'!$B$24:$P$24</c:f>
              <c:numCache>
                <c:formatCode>0.0%</c:formatCode>
                <c:ptCount val="15"/>
                <c:pt idx="0">
                  <c:v>0.15542953660295325</c:v>
                </c:pt>
                <c:pt idx="1">
                  <c:v>9.4155129900348397E-2</c:v>
                </c:pt>
                <c:pt idx="2">
                  <c:v>0.11645596139314875</c:v>
                </c:pt>
                <c:pt idx="3">
                  <c:v>8.8114076948907397E-2</c:v>
                </c:pt>
                <c:pt idx="4">
                  <c:v>0.15878130361448292</c:v>
                </c:pt>
                <c:pt idx="5">
                  <c:v>0.15891796957988913</c:v>
                </c:pt>
                <c:pt idx="6">
                  <c:v>0.19550444164421812</c:v>
                </c:pt>
                <c:pt idx="7">
                  <c:v>9.2741774708330157E-2</c:v>
                </c:pt>
                <c:pt idx="8">
                  <c:v>9.3698427941008439E-2</c:v>
                </c:pt>
                <c:pt idx="9">
                  <c:v>7.7175300428955651E-2</c:v>
                </c:pt>
                <c:pt idx="10">
                  <c:v>0.16276551105746248</c:v>
                </c:pt>
                <c:pt idx="11">
                  <c:v>8.1460728497357943E-2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317096"/>
        <c:axId val="194330464"/>
      </c:barChart>
      <c:catAx>
        <c:axId val="19431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0464"/>
        <c:crosses val="autoZero"/>
        <c:auto val="1"/>
        <c:lblAlgn val="ctr"/>
        <c:lblOffset val="100"/>
        <c:noMultiLvlLbl val="0"/>
      </c:catAx>
      <c:valAx>
        <c:axId val="194330464"/>
        <c:scaling>
          <c:orientation val="minMax"/>
          <c:max val="0.18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17096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kWh'!$A$5</c:f>
          <c:strCache>
            <c:ptCount val="1"/>
            <c:pt idx="0">
              <c:v>Perte salissure 2022 (kWh/kWc)</c:v>
            </c:pt>
          </c:strCache>
        </c:strRef>
      </c:tx>
      <c:layout>
        <c:manualLayout>
          <c:xMode val="edge"/>
          <c:yMode val="edge"/>
          <c:x val="0.2250905092592592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1712962962963E-2"/>
          <c:y val="8.8379629629629614E-2"/>
          <c:w val="0.92061574074074071"/>
          <c:h val="0.597608267716535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kWh'!$B$5:$P$5</c:f>
              <c:numCache>
                <c:formatCode>0</c:formatCode>
                <c:ptCount val="15"/>
                <c:pt idx="0">
                  <c:v>100.25001520718608</c:v>
                </c:pt>
                <c:pt idx="1">
                  <c:v>88.41186609272151</c:v>
                </c:pt>
                <c:pt idx="2">
                  <c:v>51.616634051048003</c:v>
                </c:pt>
                <c:pt idx="3">
                  <c:v>52.428256371288406</c:v>
                </c:pt>
                <c:pt idx="4">
                  <c:v>116.25189253343741</c:v>
                </c:pt>
                <c:pt idx="5">
                  <c:v>109.26184838173023</c:v>
                </c:pt>
                <c:pt idx="6">
                  <c:v>156.6043803674433</c:v>
                </c:pt>
                <c:pt idx="7">
                  <c:v>39.384501249675907</c:v>
                </c:pt>
                <c:pt idx="8">
                  <c:v>45.925381660765396</c:v>
                </c:pt>
                <c:pt idx="9">
                  <c:v>57.354512913414538</c:v>
                </c:pt>
                <c:pt idx="10">
                  <c:v>34.637585391285491</c:v>
                </c:pt>
                <c:pt idx="11">
                  <c:v>25.368463032436274</c:v>
                </c:pt>
                <c:pt idx="12">
                  <c:v>57.756064792336801</c:v>
                </c:pt>
                <c:pt idx="13">
                  <c:v>27.308762743275217</c:v>
                </c:pt>
                <c:pt idx="14">
                  <c:v>19.037252152479518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503568"/>
        <c:axId val="192711528"/>
      </c:barChart>
      <c:catAx>
        <c:axId val="19350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11528"/>
        <c:crosses val="autoZero"/>
        <c:auto val="1"/>
        <c:lblAlgn val="ctr"/>
        <c:lblOffset val="100"/>
        <c:noMultiLvlLbl val="0"/>
      </c:catAx>
      <c:valAx>
        <c:axId val="192711528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50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kWh'!$A$6</c:f>
          <c:strCache>
            <c:ptCount val="1"/>
            <c:pt idx="0">
              <c:v>Gain instantanné nettoyage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4558180227471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kWh'!$B$6:$P$6</c:f>
              <c:numCache>
                <c:formatCode>0.0%</c:formatCode>
                <c:ptCount val="15"/>
                <c:pt idx="0">
                  <c:v>9.2374320811537389E-2</c:v>
                </c:pt>
                <c:pt idx="1">
                  <c:v>7.6966161784992645E-2</c:v>
                </c:pt>
                <c:pt idx="2">
                  <c:v>4.1728153322544911E-2</c:v>
                </c:pt>
                <c:pt idx="3">
                  <c:v>5.1744622120926613E-2</c:v>
                </c:pt>
                <c:pt idx="4">
                  <c:v>9.5363472841258151E-2</c:v>
                </c:pt>
                <c:pt idx="5">
                  <c:v>9.5265982743073477E-2</c:v>
                </c:pt>
                <c:pt idx="6">
                  <c:v>0.10287433262255685</c:v>
                </c:pt>
                <c:pt idx="7">
                  <c:v>7.8261019105572857E-2</c:v>
                </c:pt>
                <c:pt idx="8">
                  <c:v>7.7380301204591356E-2</c:v>
                </c:pt>
                <c:pt idx="9">
                  <c:v>0.1076176218294741</c:v>
                </c:pt>
                <c:pt idx="10">
                  <c:v>3.6006653894440396E-2</c:v>
                </c:pt>
                <c:pt idx="11">
                  <c:v>4.5103415520396845E-2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135064"/>
        <c:axId val="194135456"/>
      </c:barChart>
      <c:catAx>
        <c:axId val="194135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135456"/>
        <c:crosses val="autoZero"/>
        <c:auto val="1"/>
        <c:lblAlgn val="ctr"/>
        <c:lblOffset val="100"/>
        <c:noMultiLvlLbl val="0"/>
      </c:catAx>
      <c:valAx>
        <c:axId val="194135456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135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kWh'!$A$4</c:f>
          <c:strCache>
            <c:ptCount val="1"/>
            <c:pt idx="0">
              <c:v>Masquage végé. 2022 (kWh/kWc)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kWh'!$B$4:$P$4</c:f>
              <c:numCache>
                <c:formatCode>0.0</c:formatCode>
                <c:ptCount val="15"/>
                <c:pt idx="0">
                  <c:v>5.7827167950883522</c:v>
                </c:pt>
                <c:pt idx="1">
                  <c:v>2.2465550022563452</c:v>
                </c:pt>
                <c:pt idx="2">
                  <c:v>0.35190370507826274</c:v>
                </c:pt>
                <c:pt idx="3">
                  <c:v>0.11206873655003406</c:v>
                </c:pt>
                <c:pt idx="4">
                  <c:v>2.095978606870494</c:v>
                </c:pt>
                <c:pt idx="5">
                  <c:v>0.63890149177929156</c:v>
                </c:pt>
                <c:pt idx="6">
                  <c:v>12.314898542949765</c:v>
                </c:pt>
                <c:pt idx="7">
                  <c:v>4.2544654077068156</c:v>
                </c:pt>
                <c:pt idx="8">
                  <c:v>0.78850719383101486</c:v>
                </c:pt>
                <c:pt idx="9">
                  <c:v>4.061539667069345E-2</c:v>
                </c:pt>
                <c:pt idx="10">
                  <c:v>1.959544651942732E-2</c:v>
                </c:pt>
                <c:pt idx="11">
                  <c:v>0.16716899574118332</c:v>
                </c:pt>
                <c:pt idx="12">
                  <c:v>1.4052753730939343E-2</c:v>
                </c:pt>
                <c:pt idx="13">
                  <c:v>5.5067968554324352E-2</c:v>
                </c:pt>
                <c:pt idx="14">
                  <c:v>0.15835843313044612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136240"/>
        <c:axId val="194240800"/>
      </c:barChart>
      <c:catAx>
        <c:axId val="19413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40800"/>
        <c:crosses val="autoZero"/>
        <c:auto val="1"/>
        <c:lblAlgn val="ctr"/>
        <c:lblOffset val="100"/>
        <c:noMultiLvlLbl val="0"/>
      </c:catAx>
      <c:valAx>
        <c:axId val="194240800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13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19050</xdr:rowOff>
    </xdr:from>
    <xdr:to>
      <xdr:col>12</xdr:col>
      <xdr:colOff>490950</xdr:colOff>
      <xdr:row>20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</xdr:colOff>
      <xdr:row>6</xdr:row>
      <xdr:rowOff>19050</xdr:rowOff>
    </xdr:from>
    <xdr:to>
      <xdr:col>20</xdr:col>
      <xdr:colOff>14700</xdr:colOff>
      <xdr:row>20</xdr:row>
      <xdr:rowOff>95250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595725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24</xdr:row>
      <xdr:rowOff>28575</xdr:rowOff>
    </xdr:from>
    <xdr:to>
      <xdr:col>12</xdr:col>
      <xdr:colOff>500475</xdr:colOff>
      <xdr:row>38</xdr:row>
      <xdr:rowOff>104775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19050</xdr:rowOff>
    </xdr:from>
    <xdr:to>
      <xdr:col>12</xdr:col>
      <xdr:colOff>500475</xdr:colOff>
      <xdr:row>20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6</xdr:row>
      <xdr:rowOff>0</xdr:rowOff>
    </xdr:from>
    <xdr:to>
      <xdr:col>22</xdr:col>
      <xdr:colOff>510000</xdr:colOff>
      <xdr:row>20</xdr:row>
      <xdr:rowOff>76200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595725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Donneville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.%20Berjean%20v4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Odars%20Ecole%20v4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Gymn%20v4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Montbrun%20Ecole%20v4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pan&#232;s%20Hangar%20v4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Montgiscard%20SDIS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ureville%20v4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MJC%20v4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Lab&#232;ge%20garderie%20v4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Lab&#232;ge%20maternelle%20v4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uens%20cr&#234;che%20v4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cr&#234;che%20v4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Noueilles%20SdF%20v4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uens%20MdS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43209</v>
          </cell>
        </row>
        <row r="5">
          <cell r="C5">
            <v>43249</v>
          </cell>
        </row>
        <row r="11">
          <cell r="C11">
            <v>104.45963514175737</v>
          </cell>
          <cell r="D11">
            <v>5.6326408194618862</v>
          </cell>
        </row>
        <row r="12">
          <cell r="C12">
            <v>507.07282394770164</v>
          </cell>
          <cell r="D12">
            <v>12.090446238296549</v>
          </cell>
        </row>
        <row r="13">
          <cell r="C13">
            <v>741.96867869641869</v>
          </cell>
          <cell r="D13">
            <v>21.143298543434643</v>
          </cell>
        </row>
        <row r="14">
          <cell r="C14">
            <v>398.89595030755072</v>
          </cell>
          <cell r="D14">
            <v>25.362680897145037</v>
          </cell>
          <cell r="H14">
            <v>462.97974451982009</v>
          </cell>
          <cell r="I14">
            <v>-1.6599989140942988</v>
          </cell>
          <cell r="K14">
            <v>44306</v>
          </cell>
        </row>
        <row r="15">
          <cell r="C15">
            <v>601.50009124311646</v>
          </cell>
          <cell r="D15">
            <v>34.696300770530115</v>
          </cell>
          <cell r="H15">
            <v>403.54404421488664</v>
          </cell>
          <cell r="I15">
            <v>-1.9937197098665465</v>
          </cell>
          <cell r="K15" t="str">
            <v/>
          </cell>
        </row>
        <row r="16">
          <cell r="C16">
            <v>380.97537047202411</v>
          </cell>
          <cell r="D16">
            <v>39.367136938520964</v>
          </cell>
          <cell r="H16">
            <v>505.35450689387005</v>
          </cell>
          <cell r="I16">
            <v>-2.7660777468428392</v>
          </cell>
          <cell r="K16">
            <v>45046</v>
          </cell>
        </row>
        <row r="17">
          <cell r="C17">
            <v>309.10766244226608</v>
          </cell>
          <cell r="D17">
            <v>48.801742812580763</v>
          </cell>
          <cell r="H17">
            <v>367.09755448772427</v>
          </cell>
          <cell r="I17">
            <v>-2.4904734911513131</v>
          </cell>
        </row>
        <row r="18">
          <cell r="C18">
            <v>307.06676161167871</v>
          </cell>
          <cell r="D18">
            <v>27.596555334460671</v>
          </cell>
          <cell r="H18">
            <v>319.78078988831334</v>
          </cell>
          <cell r="I18">
            <v>29.493768427351998</v>
          </cell>
          <cell r="K18">
            <v>45777</v>
          </cell>
          <cell r="M18">
            <v>322.58974798122983</v>
          </cell>
        </row>
        <row r="19">
          <cell r="C19">
            <v>306.04054016816588</v>
          </cell>
          <cell r="D19">
            <v>13.93215398869984</v>
          </cell>
          <cell r="H19">
            <v>315.36416071599774</v>
          </cell>
          <cell r="I19">
            <v>54.329462175659089</v>
          </cell>
        </row>
        <row r="20">
          <cell r="C20">
            <v>302.74471470358679</v>
          </cell>
          <cell r="D20">
            <v>23.512249043944465</v>
          </cell>
          <cell r="H20">
            <v>311.96747840948825</v>
          </cell>
          <cell r="I20">
            <v>56.043511808171218</v>
          </cell>
        </row>
        <row r="32">
          <cell r="M32">
            <v>1</v>
          </cell>
          <cell r="N32">
            <v>304.47624287295417</v>
          </cell>
          <cell r="O32">
            <v>4.4219372597348081E-2</v>
          </cell>
        </row>
        <row r="35">
          <cell r="E35">
            <v>2.7445102515151168E-3</v>
          </cell>
          <cell r="F35">
            <v>2.3139818916091848E-2</v>
          </cell>
          <cell r="G35">
            <v>1.2194431717577506E-3</v>
          </cell>
        </row>
        <row r="36">
          <cell r="E36">
            <v>9.4350942996907078E-3</v>
          </cell>
          <cell r="F36">
            <v>6.7281657117784069E-2</v>
          </cell>
          <cell r="G36">
            <v>1.5022125683998605E-3</v>
          </cell>
        </row>
        <row r="37">
          <cell r="E37">
            <v>1.7561014078621512E-2</v>
          </cell>
          <cell r="F37">
            <v>0.10342521867152105</v>
          </cell>
          <cell r="G37">
            <v>2.6665912239027963E-3</v>
          </cell>
        </row>
        <row r="38">
          <cell r="E38">
            <v>2.5834302827776726E-2</v>
          </cell>
          <cell r="F38">
            <v>5.5010862046536435E-2</v>
          </cell>
          <cell r="G38">
            <v>3.3108722293765328E-3</v>
          </cell>
          <cell r="L38">
            <v>9.2374320811537389E-2</v>
          </cell>
        </row>
        <row r="39">
          <cell r="C39">
            <v>9.3172112867404011E-2</v>
          </cell>
          <cell r="E39">
            <v>3.3516462519325232E-2</v>
          </cell>
          <cell r="F39">
            <v>8.2066513585501252E-2</v>
          </cell>
          <cell r="G39">
            <v>4.3637206482691517E-3</v>
          </cell>
        </row>
        <row r="40">
          <cell r="E40">
            <v>4.2412255918416637E-2</v>
          </cell>
          <cell r="F40">
            <v>5.082921954836421E-2</v>
          </cell>
          <cell r="G40">
            <v>4.988020010828753E-3</v>
          </cell>
        </row>
        <row r="41">
          <cell r="E41">
            <v>5.0758158902619047E-2</v>
          </cell>
          <cell r="F41">
            <v>4.0886515905021216E-2</v>
          </cell>
          <cell r="G41">
            <v>6.18923889969057E-3</v>
          </cell>
        </row>
        <row r="42">
          <cell r="E42">
            <v>5.9231626241671262E-2</v>
          </cell>
          <cell r="F42">
            <v>4.0466334926113866E-2</v>
          </cell>
          <cell r="G42">
            <v>3.48729419641598E-3</v>
          </cell>
        </row>
        <row r="43">
          <cell r="E43">
            <v>6.7715642161066972E-2</v>
          </cell>
          <cell r="F43">
            <v>4.021106792520425E-2</v>
          </cell>
          <cell r="G43">
            <v>1.7552059937651712E-3</v>
          </cell>
        </row>
        <row r="44">
          <cell r="E44">
            <v>7.628421731660695E-2</v>
          </cell>
          <cell r="F44">
            <v>3.9866544906025508E-2</v>
          </cell>
          <cell r="G44">
            <v>2.9687957112705045E-3</v>
          </cell>
        </row>
        <row r="65">
          <cell r="K65">
            <v>3.7291589856623895</v>
          </cell>
          <cell r="L65">
            <v>2.315724518475883</v>
          </cell>
          <cell r="M65">
            <v>1.7336989716275146</v>
          </cell>
        </row>
        <row r="66">
          <cell r="B66">
            <v>2.2760567860776364</v>
          </cell>
          <cell r="C66">
            <v>3.4593848955928208</v>
          </cell>
          <cell r="D66">
            <v>4.8217993121341438</v>
          </cell>
          <cell r="E66">
            <v>5.8125940260862698</v>
          </cell>
          <cell r="F66">
            <v>6.7838233147262308</v>
          </cell>
          <cell r="G66">
            <v>6.727950089237364</v>
          </cell>
          <cell r="H66">
            <v>6.4372107058048043</v>
          </cell>
          <cell r="I66">
            <v>5.9413827222180222</v>
          </cell>
          <cell r="J66">
            <v>5.15945358246928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1.7000000000000001E-2</v>
          </cell>
        </row>
      </sheetData>
      <sheetData sheetId="4">
        <row r="10">
          <cell r="U10">
            <v>0.5</v>
          </cell>
        </row>
        <row r="11">
          <cell r="D11">
            <v>12.355579314052193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5">
        <row r="10">
          <cell r="U10">
            <v>0.39887541583559449</v>
          </cell>
        </row>
        <row r="11">
          <cell r="D11">
            <v>70.443593428278291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6">
        <row r="10">
          <cell r="U10">
            <v>0.30000006185595751</v>
          </cell>
        </row>
        <row r="11">
          <cell r="D11">
            <v>123.80787121146386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7">
        <row r="10">
          <cell r="U10">
            <v>0.30000006185595751</v>
          </cell>
        </row>
        <row r="11">
          <cell r="D11">
            <v>182.61258547714806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8">
        <row r="10">
          <cell r="U10">
            <v>0.30000006185595751</v>
          </cell>
        </row>
        <row r="11">
          <cell r="D11">
            <v>237.68976977509919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9">
        <row r="10">
          <cell r="U10">
            <v>0.30000006185595751</v>
          </cell>
        </row>
        <row r="11">
          <cell r="D11">
            <v>304.95469433353719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133">
          <cell r="O133">
            <v>0.10274501027396959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365.20167162010785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424.32796490029978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2">
        <row r="10">
          <cell r="U10">
            <v>0.5</v>
          </cell>
        </row>
        <row r="11">
          <cell r="D11">
            <v>482.68827410066024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3">
        <row r="10">
          <cell r="U10">
            <v>0.5</v>
          </cell>
        </row>
        <row r="11">
          <cell r="D11">
            <v>538.23965866815252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Escalq. Berjean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43496</v>
          </cell>
        </row>
        <row r="5">
          <cell r="C5">
            <v>43535</v>
          </cell>
        </row>
        <row r="11">
          <cell r="C11">
            <v>180.06133510994408</v>
          </cell>
          <cell r="D11">
            <v>3.4087965084989458E-2</v>
          </cell>
        </row>
        <row r="12">
          <cell r="C12">
            <v>512.71335922203446</v>
          </cell>
          <cell r="D12">
            <v>9.5251793757527042E-2</v>
          </cell>
        </row>
        <row r="13">
          <cell r="C13">
            <v>947.64458872461057</v>
          </cell>
          <cell r="D13">
            <v>0.23705846887630638</v>
          </cell>
          <cell r="K13" t="str">
            <v/>
          </cell>
        </row>
        <row r="14">
          <cell r="C14">
            <v>516.19061622073082</v>
          </cell>
          <cell r="D14">
            <v>0.36553857003624107</v>
          </cell>
          <cell r="H14">
            <v>894.20117184713649</v>
          </cell>
          <cell r="I14">
            <v>-2.816996816921663E-2</v>
          </cell>
          <cell r="K14">
            <v>44683</v>
          </cell>
        </row>
        <row r="15">
          <cell r="C15">
            <v>282.77249932944187</v>
          </cell>
          <cell r="D15">
            <v>0.4682116749139808</v>
          </cell>
          <cell r="H15">
            <v>456.11935643642539</v>
          </cell>
          <cell r="I15">
            <v>-1.8360694764684604E-2</v>
          </cell>
          <cell r="K15">
            <v>45046</v>
          </cell>
        </row>
        <row r="16">
          <cell r="C16">
            <v>312.06836373388603</v>
          </cell>
          <cell r="D16">
            <v>0.64887939096305236</v>
          </cell>
          <cell r="H16">
            <v>355.21273202749398</v>
          </cell>
          <cell r="I16">
            <v>-1.9956268206066885E-2</v>
          </cell>
          <cell r="K16">
            <v>45412</v>
          </cell>
          <cell r="M16">
            <v>266.72713868688481</v>
          </cell>
        </row>
        <row r="17">
          <cell r="C17">
            <v>308.56914614988716</v>
          </cell>
          <cell r="D17">
            <v>0.82269474741760173</v>
          </cell>
          <cell r="H17">
            <v>375.4693150846831</v>
          </cell>
          <cell r="I17">
            <v>-2.69772510053361E-2</v>
          </cell>
        </row>
        <row r="18">
          <cell r="C18">
            <v>306.45017488853767</v>
          </cell>
          <cell r="D18">
            <v>0.27372910538385098</v>
          </cell>
          <cell r="H18">
            <v>372.661444763475</v>
          </cell>
          <cell r="I18">
            <v>0.75223145367926325</v>
          </cell>
        </row>
        <row r="19">
          <cell r="C19">
            <v>304.3272060374432</v>
          </cell>
          <cell r="D19">
            <v>0.1090568363154861</v>
          </cell>
          <cell r="H19">
            <v>370.04456219073523</v>
          </cell>
          <cell r="I19">
            <v>1.1715308112500016</v>
          </cell>
        </row>
        <row r="20">
          <cell r="H20">
            <v>368.34787273155916</v>
          </cell>
        </row>
        <row r="32">
          <cell r="M32">
            <v>1</v>
          </cell>
          <cell r="N32">
            <v>369.09271245972332</v>
          </cell>
          <cell r="O32">
            <v>3.2787154720326943E-2</v>
          </cell>
        </row>
        <row r="35">
          <cell r="E35">
            <v>3.1495627912824331E-3</v>
          </cell>
          <cell r="F35">
            <v>1.7322603295289271E-2</v>
          </cell>
          <cell r="G35">
            <v>3.2233820691782102E-6</v>
          </cell>
        </row>
        <row r="36">
          <cell r="E36">
            <v>9.8014696424478989E-3</v>
          </cell>
          <cell r="F36">
            <v>4.4142983731602067E-2</v>
          </cell>
          <cell r="G36">
            <v>7.8509157431903034E-6</v>
          </cell>
        </row>
        <row r="37">
          <cell r="E37">
            <v>1.6935773159675226E-2</v>
          </cell>
          <cell r="F37">
            <v>8.6648927570793649E-2</v>
          </cell>
          <cell r="G37">
            <v>1.9920389519697197E-5</v>
          </cell>
        </row>
        <row r="38">
          <cell r="C38">
            <v>2.7127379112340089E-2</v>
          </cell>
          <cell r="E38">
            <v>2.4185866259582075E-2</v>
          </cell>
          <cell r="F38">
            <v>4.3468339145651673E-2</v>
          </cell>
          <cell r="G38">
            <v>2.9469959024322126E-5</v>
          </cell>
          <cell r="L38">
            <v>0.1076176218294741</v>
          </cell>
        </row>
        <row r="39">
          <cell r="E39">
            <v>3.1350903228864899E-2</v>
          </cell>
          <cell r="F39">
            <v>2.3550814936775976E-2</v>
          </cell>
          <cell r="G39">
            <v>3.807048712682366E-5</v>
          </cell>
        </row>
        <row r="40">
          <cell r="E40">
            <v>3.8602060465450644E-2</v>
          </cell>
          <cell r="F40">
            <v>2.60211398643432E-2</v>
          </cell>
          <cell r="G40">
            <v>5.2681639346858881E-5</v>
          </cell>
        </row>
        <row r="41">
          <cell r="E41">
            <v>4.5906947383157731E-2</v>
          </cell>
          <cell r="F41">
            <v>2.5767574443728458E-2</v>
          </cell>
          <cell r="G41">
            <v>6.6897557385696565E-5</v>
          </cell>
        </row>
        <row r="42">
          <cell r="E42">
            <v>5.324925971391261E-2</v>
          </cell>
          <cell r="F42">
            <v>2.5588479581410955E-2</v>
          </cell>
          <cell r="G42">
            <v>2.2256447459825115E-5</v>
          </cell>
        </row>
        <row r="43">
          <cell r="E43">
            <v>6.0642628808033748E-2</v>
          </cell>
          <cell r="F43">
            <v>2.5410468216118195E-2</v>
          </cell>
          <cell r="G43">
            <v>8.8669626943999863E-6</v>
          </cell>
        </row>
        <row r="64">
          <cell r="K64">
            <v>4.5369654163612063</v>
          </cell>
          <cell r="L64">
            <v>3.495067341341811</v>
          </cell>
          <cell r="M64">
            <v>2.9581037863221691</v>
          </cell>
        </row>
        <row r="65">
          <cell r="B65">
            <v>3.3821082234297886</v>
          </cell>
          <cell r="C65">
            <v>4.4411326818160948</v>
          </cell>
          <cell r="D65">
            <v>5.5248273615253005</v>
          </cell>
          <cell r="E65">
            <v>6.3156784732175923</v>
          </cell>
          <cell r="F65">
            <v>6.7140956215336569</v>
          </cell>
          <cell r="G65">
            <v>6.6288804612357071</v>
          </cell>
          <cell r="H65">
            <v>6.3473174705565079</v>
          </cell>
          <cell r="I65">
            <v>5.9411551048186189</v>
          </cell>
          <cell r="J65">
            <v>5.3833358970113165</v>
          </cell>
        </row>
      </sheetData>
      <sheetData sheetId="1"/>
      <sheetData sheetId="2"/>
      <sheetData sheetId="3">
        <row r="1">
          <cell r="Q1">
            <v>7.0000000000000001E-3</v>
          </cell>
        </row>
        <row r="5">
          <cell r="U5">
            <v>8.9999999999999993E-3</v>
          </cell>
        </row>
      </sheetData>
      <sheetData sheetId="4">
        <row r="10">
          <cell r="U10">
            <v>0.5</v>
          </cell>
        </row>
        <row r="11">
          <cell r="D11">
            <v>32.63562161381742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5">
        <row r="10">
          <cell r="U10">
            <v>0.5</v>
          </cell>
        </row>
        <row r="11">
          <cell r="D11">
            <v>112.73743496705174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6">
        <row r="10">
          <cell r="U10">
            <v>0.5</v>
          </cell>
        </row>
        <row r="11">
          <cell r="D11">
            <v>182.13516275789334</v>
          </cell>
          <cell r="O11">
            <v>0.15</v>
          </cell>
        </row>
        <row r="12">
          <cell r="L12">
            <v>0</v>
          </cell>
          <cell r="O12">
            <v>438</v>
          </cell>
        </row>
        <row r="379">
          <cell r="Q379">
            <v>0.6</v>
          </cell>
        </row>
      </sheetData>
      <sheetData sheetId="7">
        <row r="10">
          <cell r="U10">
            <v>0.5</v>
          </cell>
        </row>
        <row r="11">
          <cell r="D11">
            <v>280.42706538638959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8">
        <row r="10">
          <cell r="U10">
            <v>0.5</v>
          </cell>
        </row>
        <row r="11">
          <cell r="D11">
            <v>364.98484749721138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133">
          <cell r="O133">
            <v>3.4982250757871251E-2</v>
          </cell>
        </row>
        <row r="379">
          <cell r="Q379">
            <v>0.6</v>
          </cell>
        </row>
      </sheetData>
      <sheetData sheetId="9">
        <row r="10">
          <cell r="U10">
            <v>0.5</v>
          </cell>
        </row>
        <row r="11">
          <cell r="D11">
            <v>445.74320722255652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0">
        <row r="10">
          <cell r="U10">
            <v>0.5</v>
          </cell>
        </row>
        <row r="11">
          <cell r="D11">
            <v>525.61085595078475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1">
        <row r="10">
          <cell r="U10">
            <v>0.5</v>
          </cell>
        </row>
        <row r="11">
          <cell r="D11">
            <v>605.47721375175206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2">
        <row r="10">
          <cell r="U10">
            <v>0.5</v>
          </cell>
        </row>
        <row r="11">
          <cell r="D11">
            <v>684.75790198994946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3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Odars Ecole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43763</v>
          </cell>
        </row>
        <row r="5">
          <cell r="C5">
            <v>43851</v>
          </cell>
        </row>
        <row r="11">
          <cell r="C11">
            <v>735.93705271694512</v>
          </cell>
          <cell r="D11">
            <v>0.15389190729034352</v>
          </cell>
        </row>
        <row r="12">
          <cell r="C12">
            <v>1466.8051397519837</v>
          </cell>
          <cell r="D12">
            <v>0.34106164481600015</v>
          </cell>
          <cell r="K12" t="str">
            <v/>
          </cell>
        </row>
        <row r="13">
          <cell r="C13">
            <v>1241.4110604236721</v>
          </cell>
          <cell r="D13">
            <v>0.7023008032562752</v>
          </cell>
          <cell r="H13">
            <v>1229.0315199032634</v>
          </cell>
          <cell r="I13">
            <v>-1.8110199155422779E-2</v>
          </cell>
          <cell r="K13">
            <v>44683</v>
          </cell>
        </row>
        <row r="14">
          <cell r="C14">
            <v>1076.5689647928473</v>
          </cell>
          <cell r="D14">
            <v>1.0017068465294989</v>
          </cell>
          <cell r="H14">
            <v>1723.1229262730683</v>
          </cell>
          <cell r="I14">
            <v>-3.632409478008547E-2</v>
          </cell>
          <cell r="K14">
            <v>45046</v>
          </cell>
        </row>
        <row r="15">
          <cell r="C15">
            <v>925.1543584912132</v>
          </cell>
          <cell r="D15">
            <v>1.4193690800191918</v>
          </cell>
          <cell r="H15">
            <v>1279.0385464586689</v>
          </cell>
          <cell r="I15">
            <v>-3.8251325897334487E-2</v>
          </cell>
          <cell r="K15">
            <v>45412</v>
          </cell>
          <cell r="M15">
            <v>1768.6502024526785</v>
          </cell>
        </row>
        <row r="16">
          <cell r="C16">
            <v>916.50395967864495</v>
          </cell>
          <cell r="D16">
            <v>1.8691175792034918</v>
          </cell>
          <cell r="H16">
            <v>1141.4978954745247</v>
          </cell>
          <cell r="I16">
            <v>-4.5257417136767231E-2</v>
          </cell>
        </row>
        <row r="17">
          <cell r="C17">
            <v>911.46335154089229</v>
          </cell>
          <cell r="D17">
            <v>2.4081715232615886</v>
          </cell>
          <cell r="H17">
            <v>1134.6759077978384</v>
          </cell>
          <cell r="I17">
            <v>-5.8281586414054676E-2</v>
          </cell>
        </row>
        <row r="18">
          <cell r="C18">
            <v>906.51628025786533</v>
          </cell>
          <cell r="D18">
            <v>0.61362483401797729</v>
          </cell>
          <cell r="H18">
            <v>1128.4156003222333</v>
          </cell>
          <cell r="I18">
            <v>2.2991864933085049</v>
          </cell>
        </row>
        <row r="19">
          <cell r="H19">
            <v>1125.1298362354605</v>
          </cell>
        </row>
        <row r="20">
          <cell r="H20">
            <v>1116.5358464089941</v>
          </cell>
        </row>
        <row r="32">
          <cell r="M32">
            <v>1</v>
          </cell>
          <cell r="N32">
            <v>1123.4941682167303</v>
          </cell>
          <cell r="O32">
            <v>2.4220388328475402E-2</v>
          </cell>
        </row>
        <row r="35">
          <cell r="E35">
            <v>3.7533439879971929E-3</v>
          </cell>
          <cell r="F35">
            <v>1.5759589698497976E-2</v>
          </cell>
          <cell r="G35">
            <v>3.2441714541030566E-6</v>
          </cell>
        </row>
        <row r="36">
          <cell r="E36">
            <v>9.2410469144759769E-3</v>
          </cell>
          <cell r="F36">
            <v>3.3637201482409493E-2</v>
          </cell>
          <cell r="G36">
            <v>7.5645239029497592E-6</v>
          </cell>
        </row>
        <row r="37">
          <cell r="C37">
            <v>3.5481489966279291E-2</v>
          </cell>
          <cell r="E37">
            <v>1.4646977165567246E-2</v>
          </cell>
          <cell r="F37">
            <v>2.5499195570433755E-2</v>
          </cell>
          <cell r="G37">
            <v>1.4061788759785723E-5</v>
          </cell>
          <cell r="L37">
            <v>3.6006653894440396E-2</v>
          </cell>
        </row>
        <row r="38">
          <cell r="E38">
            <v>2.0447162813836912E-2</v>
          </cell>
          <cell r="F38">
            <v>2.2203765362636081E-2</v>
          </cell>
          <cell r="G38">
            <v>2.0202033801282351E-5</v>
          </cell>
        </row>
        <row r="39">
          <cell r="E39">
            <v>2.6070096171840428E-2</v>
          </cell>
          <cell r="F39">
            <v>1.8995335134485532E-2</v>
          </cell>
          <cell r="G39">
            <v>2.8585441134867369E-5</v>
          </cell>
        </row>
        <row r="40">
          <cell r="E40">
            <v>3.1736541707288179E-2</v>
          </cell>
          <cell r="F40">
            <v>1.8843566023951572E-2</v>
          </cell>
          <cell r="G40">
            <v>3.769667282184432E-5</v>
          </cell>
        </row>
        <row r="41">
          <cell r="E41">
            <v>3.7422812532558691E-2</v>
          </cell>
          <cell r="F41">
            <v>1.874025255950371E-2</v>
          </cell>
          <cell r="G41">
            <v>4.8569240018212732E-5</v>
          </cell>
        </row>
        <row r="42">
          <cell r="E42">
            <v>4.3140501611642533E-2</v>
          </cell>
          <cell r="F42">
            <v>1.8637517813061527E-2</v>
          </cell>
          <cell r="G42">
            <v>1.2375223775839421E-5</v>
          </cell>
        </row>
        <row r="63">
          <cell r="K63">
            <v>4.3259210629929852</v>
          </cell>
          <cell r="L63">
            <v>3.3183742105715237</v>
          </cell>
          <cell r="M63">
            <v>2.7550375107952818</v>
          </cell>
        </row>
        <row r="64">
          <cell r="B64">
            <v>3.120151506953019</v>
          </cell>
          <cell r="C64">
            <v>4.1352558618377664</v>
          </cell>
          <cell r="D64">
            <v>5.2610645812288492</v>
          </cell>
          <cell r="E64">
            <v>6.1919888778791581</v>
          </cell>
          <cell r="F64">
            <v>6.926595460134509</v>
          </cell>
          <cell r="G64">
            <v>7.0038625513232917</v>
          </cell>
          <cell r="H64">
            <v>6.7757154179550465</v>
          </cell>
          <cell r="I64">
            <v>6.2679760405037541</v>
          </cell>
          <cell r="J64">
            <v>5.4337689095656954</v>
          </cell>
        </row>
      </sheetData>
      <sheetData sheetId="1"/>
      <sheetData sheetId="2"/>
      <sheetData sheetId="3">
        <row r="1">
          <cell r="Q1">
            <v>5.4999999999999997E-3</v>
          </cell>
        </row>
        <row r="5">
          <cell r="O5">
            <v>7.0000000000000001E-3</v>
          </cell>
        </row>
      </sheetData>
      <sheetData sheetId="4">
        <row r="10">
          <cell r="U10">
            <v>0.5</v>
          </cell>
        </row>
        <row r="11">
          <cell r="D11">
            <v>174.61724272811989</v>
          </cell>
          <cell r="O11">
            <v>7.4999999999999997E-2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399.28117612332426</v>
          </cell>
          <cell r="O11">
            <v>7.4999999999999997E-2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702.78449145479681</v>
          </cell>
          <cell r="O11">
            <v>0.15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971.53345264642849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133">
          <cell r="O133">
            <v>4.7753836240807326E-2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1237.4647640025651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1496.1048812745794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1754.4637598085319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2011.5457714281947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Ayguesvives Gymn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43808</v>
          </cell>
        </row>
        <row r="5">
          <cell r="C5">
            <v>43854</v>
          </cell>
        </row>
        <row r="11">
          <cell r="C11">
            <v>527.34274757565163</v>
          </cell>
          <cell r="D11">
            <v>1.0861861353598061</v>
          </cell>
        </row>
        <row r="12">
          <cell r="C12">
            <v>1749.1243121915923</v>
          </cell>
          <cell r="D12">
            <v>3.5022140354915745</v>
          </cell>
          <cell r="K12" t="str">
            <v/>
          </cell>
        </row>
        <row r="13">
          <cell r="C13">
            <v>909.20571508251612</v>
          </cell>
          <cell r="D13">
            <v>5.9913368073640108</v>
          </cell>
          <cell r="H13">
            <v>1504.932300983422</v>
          </cell>
          <cell r="I13">
            <v>-0.19202420549369137</v>
          </cell>
          <cell r="K13">
            <v>44683</v>
          </cell>
        </row>
        <row r="14">
          <cell r="C14">
            <v>585.16555077214161</v>
          </cell>
          <cell r="D14">
            <v>8.5936568623511427</v>
          </cell>
          <cell r="H14">
            <v>900.72571453387241</v>
          </cell>
          <cell r="I14">
            <v>-0.16658853594001677</v>
          </cell>
          <cell r="K14">
            <v>45046</v>
          </cell>
        </row>
        <row r="15">
          <cell r="C15">
            <v>631.8697097183599</v>
          </cell>
          <cell r="D15">
            <v>12.719664087569205</v>
          </cell>
          <cell r="H15">
            <v>782.37473360355966</v>
          </cell>
          <cell r="I15">
            <v>-0.2146855262473224</v>
          </cell>
          <cell r="K15">
            <v>45412</v>
          </cell>
          <cell r="M15">
            <v>638.11867672016092</v>
          </cell>
        </row>
        <row r="16">
          <cell r="C16">
            <v>625.91869640311131</v>
          </cell>
          <cell r="D16">
            <v>17.41713302729837</v>
          </cell>
          <cell r="H16">
            <v>811.42181415609946</v>
          </cell>
          <cell r="I16">
            <v>-0.30711657523084668</v>
          </cell>
        </row>
        <row r="17">
          <cell r="C17">
            <v>622.09174289500413</v>
          </cell>
          <cell r="D17">
            <v>23.356711699748452</v>
          </cell>
          <cell r="H17">
            <v>806.20470503174499</v>
          </cell>
          <cell r="I17">
            <v>-0.4114873103527259</v>
          </cell>
        </row>
        <row r="18">
          <cell r="C18">
            <v>619.27613154584469</v>
          </cell>
          <cell r="D18">
            <v>8.7932132257640507</v>
          </cell>
          <cell r="H18">
            <v>801.79302296220112</v>
          </cell>
          <cell r="I18">
            <v>20.699497237547497</v>
          </cell>
        </row>
        <row r="19">
          <cell r="H19">
            <v>798.95324910172292</v>
          </cell>
        </row>
        <row r="20">
          <cell r="H20">
            <v>792.69861831492244</v>
          </cell>
        </row>
        <row r="32">
          <cell r="M32">
            <v>1</v>
          </cell>
          <cell r="N32">
            <v>805.3477136776695</v>
          </cell>
          <cell r="O32">
            <v>1.7639711853130943E-2</v>
          </cell>
        </row>
        <row r="35">
          <cell r="E35">
            <v>3.5303497068894557E-3</v>
          </cell>
          <cell r="F35">
            <v>1.1334393836478921E-2</v>
          </cell>
          <cell r="G35">
            <v>2.3083285137382363E-5</v>
          </cell>
        </row>
        <row r="36">
          <cell r="E36">
            <v>8.8004229518366776E-3</v>
          </cell>
          <cell r="F36">
            <v>3.8480409365322155E-2</v>
          </cell>
          <cell r="G36">
            <v>7.4168890911800007E-5</v>
          </cell>
        </row>
        <row r="37">
          <cell r="C37">
            <v>1.5154364362308178E-2</v>
          </cell>
          <cell r="E37">
            <v>1.598281379480122E-2</v>
          </cell>
          <cell r="F37">
            <v>1.9095836738424476E-2</v>
          </cell>
          <cell r="G37">
            <v>1.2343979656983357E-4</v>
          </cell>
          <cell r="L37">
            <v>4.5103415520396845E-2</v>
          </cell>
        </row>
        <row r="38">
          <cell r="E38">
            <v>2.1829258599729569E-2</v>
          </cell>
          <cell r="F38">
            <v>1.2318394501883864E-2</v>
          </cell>
          <cell r="G38">
            <v>1.786573516430374E-4</v>
          </cell>
        </row>
        <row r="39">
          <cell r="E39">
            <v>2.7368800065877788E-2</v>
          </cell>
          <cell r="F39">
            <v>1.3298455187047416E-2</v>
          </cell>
          <cell r="G39">
            <v>2.6409243105431199E-4</v>
          </cell>
        </row>
        <row r="40">
          <cell r="E40">
            <v>3.2802146555931312E-2</v>
          </cell>
          <cell r="F40">
            <v>1.3192823348298112E-2</v>
          </cell>
          <cell r="G40">
            <v>3.6217538591286537E-4</v>
          </cell>
        </row>
        <row r="41">
          <cell r="E41">
            <v>3.8775970324104847E-2</v>
          </cell>
          <cell r="F41">
            <v>1.3116219215720929E-2</v>
          </cell>
          <cell r="G41">
            <v>4.8583488559280692E-4</v>
          </cell>
        </row>
        <row r="42">
          <cell r="E42">
            <v>4.4235840872277103E-2</v>
          </cell>
          <cell r="F42">
            <v>1.3048432031100574E-2</v>
          </cell>
          <cell r="G42">
            <v>1.8278645191125342E-4</v>
          </cell>
        </row>
        <row r="63">
          <cell r="K63">
            <v>4.4306374830121529</v>
          </cell>
          <cell r="L63">
            <v>3.4230968367404411</v>
          </cell>
          <cell r="M63">
            <v>2.8371503789140773</v>
          </cell>
        </row>
        <row r="64">
          <cell r="B64">
            <v>3.229232640912433</v>
          </cell>
          <cell r="C64">
            <v>4.2300946239319908</v>
          </cell>
          <cell r="D64">
            <v>5.4201046827929362</v>
          </cell>
          <cell r="E64">
            <v>6.3262743392590952</v>
          </cell>
          <cell r="F64">
            <v>6.8180584688709072</v>
          </cell>
          <cell r="G64">
            <v>6.9294451120895957</v>
          </cell>
          <cell r="H64">
            <v>6.7183737598247486</v>
          </cell>
          <cell r="I64">
            <v>6.2406289030933495</v>
          </cell>
          <cell r="J64">
            <v>5.4590229717962631</v>
          </cell>
        </row>
      </sheetData>
      <sheetData sheetId="1"/>
      <sheetData sheetId="2"/>
      <sheetData sheetId="3">
        <row r="1">
          <cell r="Q1">
            <v>5.4999999999999997E-3</v>
          </cell>
        </row>
        <row r="5">
          <cell r="O5">
            <v>4.0000000000000001E-3</v>
          </cell>
        </row>
      </sheetData>
      <sheetData sheetId="4">
        <row r="10">
          <cell r="U10">
            <v>0.5</v>
          </cell>
        </row>
        <row r="11">
          <cell r="D11">
            <v>163.67482860564633</v>
          </cell>
          <cell r="O11">
            <v>6.5000000000000002E-2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396.53295113176864</v>
          </cell>
          <cell r="O11">
            <v>0.05</v>
          </cell>
        </row>
        <row r="12">
          <cell r="L12">
            <v>0</v>
          </cell>
          <cell r="O12">
            <v>146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749.01470185581275</v>
          </cell>
          <cell r="O11">
            <v>0.06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1014.8112995538831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133">
          <cell r="O133">
            <v>1.9972834169430537E-2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1265.7727071792033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1506.8336487031265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1770.4617563898573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2010.4890206115742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Montbrun Ecole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43881</v>
          </cell>
        </row>
        <row r="5">
          <cell r="C5">
            <v>43983</v>
          </cell>
        </row>
        <row r="11">
          <cell r="C11">
            <v>145.71079101358038</v>
          </cell>
          <cell r="D11">
            <v>5.7103632068970088E-2</v>
          </cell>
          <cell r="K11" t="str">
            <v/>
          </cell>
        </row>
        <row r="12">
          <cell r="C12">
            <v>559.08096936676816</v>
          </cell>
          <cell r="D12">
            <v>0.17284296914645852</v>
          </cell>
          <cell r="K12" t="str">
            <v/>
          </cell>
        </row>
        <row r="13">
          <cell r="C13">
            <v>1793.3258118020576</v>
          </cell>
          <cell r="D13">
            <v>0.43633800334566664</v>
          </cell>
        </row>
        <row r="14">
          <cell r="C14">
            <v>1016.3090036700739</v>
          </cell>
          <cell r="D14">
            <v>0.78066977494861212</v>
          </cell>
          <cell r="H14">
            <v>1507.9800993064785</v>
          </cell>
          <cell r="I14">
            <v>-2.7382640635814526E-2</v>
          </cell>
          <cell r="K14">
            <v>45046</v>
          </cell>
        </row>
        <row r="15">
          <cell r="C15">
            <v>1000.796226854453</v>
          </cell>
          <cell r="D15">
            <v>1.611031820990644</v>
          </cell>
          <cell r="H15">
            <v>1331.7369156341151</v>
          </cell>
          <cell r="I15">
            <v>-4.9983423868017018E-2</v>
          </cell>
        </row>
        <row r="16">
          <cell r="C16">
            <v>695.15482076191586</v>
          </cell>
          <cell r="D16">
            <v>2.7146452802060712</v>
          </cell>
          <cell r="H16">
            <v>899.18958053767449</v>
          </cell>
          <cell r="I16">
            <v>-5.6723599124250512E-2</v>
          </cell>
          <cell r="K16">
            <v>45777</v>
          </cell>
          <cell r="M16">
            <v>3079.5885468002307</v>
          </cell>
        </row>
        <row r="17">
          <cell r="C17">
            <v>992.97647310471189</v>
          </cell>
          <cell r="D17">
            <v>5.0769096150106101</v>
          </cell>
          <cell r="H17">
            <v>581.35140890648654</v>
          </cell>
          <cell r="I17">
            <v>-6.9283788872280816E-2</v>
          </cell>
        </row>
        <row r="18">
          <cell r="C18">
            <v>690.7756411497943</v>
          </cell>
          <cell r="D18">
            <v>1.7892362105609325</v>
          </cell>
          <cell r="H18">
            <v>759.47828124456043</v>
          </cell>
          <cell r="I18">
            <v>6.3322192060132512</v>
          </cell>
        </row>
        <row r="19">
          <cell r="H19">
            <v>577.64841134778453</v>
          </cell>
        </row>
        <row r="20">
          <cell r="H20">
            <v>754.83958946951293</v>
          </cell>
        </row>
        <row r="32">
          <cell r="M32">
            <v>2</v>
          </cell>
          <cell r="N32">
            <v>673.39346106514847</v>
          </cell>
          <cell r="O32">
            <v>1.5687061541719536E-2</v>
          </cell>
        </row>
        <row r="35">
          <cell r="E35">
            <v>1.5275133097847489E-3</v>
          </cell>
          <cell r="F35">
            <v>5.6556228080375933E-3</v>
          </cell>
          <cell r="G35">
            <v>2.2039383238643967E-6</v>
          </cell>
        </row>
        <row r="36">
          <cell r="E36">
            <v>4.0548391740790118E-3</v>
          </cell>
          <cell r="F36">
            <v>1.3083410656443382E-2</v>
          </cell>
          <cell r="G36">
            <v>3.9923631305330141E-6</v>
          </cell>
        </row>
        <row r="37">
          <cell r="C37">
            <v>5.3893978729115229E-2</v>
          </cell>
          <cell r="E37">
            <v>6.8739481214382487E-3</v>
          </cell>
          <cell r="F37">
            <v>4.1707658943991616E-2</v>
          </cell>
          <cell r="G37">
            <v>9.7389982502581092E-6</v>
          </cell>
        </row>
        <row r="38">
          <cell r="E38">
            <v>1.0127128254865917E-2</v>
          </cell>
          <cell r="F38">
            <v>2.3409068756175183E-2</v>
          </cell>
          <cell r="G38">
            <v>1.7566121331687045E-5</v>
          </cell>
        </row>
        <row r="39">
          <cell r="E39">
            <v>1.3150565556066807E-2</v>
          </cell>
          <cell r="F39">
            <v>2.3011470571037029E-2</v>
          </cell>
          <cell r="G39">
            <v>3.6198775620900834E-5</v>
          </cell>
        </row>
        <row r="40">
          <cell r="E40">
            <v>1.6203456021461067E-2</v>
          </cell>
          <cell r="F40">
            <v>1.5895682596058575E-2</v>
          </cell>
          <cell r="G40">
            <v>6.1087383349024311E-5</v>
          </cell>
        </row>
        <row r="41">
          <cell r="E41">
            <v>1.924961420725237E-2</v>
          </cell>
          <cell r="F41">
            <v>2.2867667831735248E-2</v>
          </cell>
          <cell r="G41">
            <v>1.1425521646595968E-4</v>
          </cell>
        </row>
        <row r="42">
          <cell r="E42">
            <v>2.2314912672417375E-2</v>
          </cell>
          <cell r="F42">
            <v>1.5795019597029059E-2</v>
          </cell>
          <cell r="G42">
            <v>4.0261883428802063E-5</v>
          </cell>
        </row>
        <row r="63">
          <cell r="K63">
            <v>4.6473501282434686</v>
          </cell>
          <cell r="L63">
            <v>3.5539156363515749</v>
          </cell>
          <cell r="M63">
            <v>2.9319152759041005</v>
          </cell>
        </row>
        <row r="64">
          <cell r="B64">
            <v>3.3077910446132872</v>
          </cell>
          <cell r="C64">
            <v>4.3779389518158833</v>
          </cell>
          <cell r="D64">
            <v>5.5715823786852861</v>
          </cell>
          <cell r="E64">
            <v>6.459964220224764</v>
          </cell>
          <cell r="F64">
            <v>7.1976069557619509</v>
          </cell>
          <cell r="G64">
            <v>7.2405440404946475</v>
          </cell>
          <cell r="H64">
            <v>7.0457997377423309</v>
          </cell>
          <cell r="I64">
            <v>6.5873174768916396</v>
          </cell>
          <cell r="J64">
            <v>5.8296963384037239</v>
          </cell>
        </row>
      </sheetData>
      <sheetData sheetId="1"/>
      <sheetData sheetId="2"/>
      <sheetData sheetId="3">
        <row r="1">
          <cell r="Q1">
            <v>3.0000000000000001E-3</v>
          </cell>
        </row>
      </sheetData>
      <sheetData sheetId="4">
        <row r="10">
          <cell r="U10">
            <v>0.5</v>
          </cell>
        </row>
        <row r="11">
          <cell r="D11">
            <v>39.294647503702436</v>
          </cell>
          <cell r="O11">
            <v>3.5000000000000003E-2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172.57184267759294</v>
          </cell>
          <cell r="O11">
            <v>3.5000000000000003E-2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293.54489498129988</v>
          </cell>
          <cell r="O11">
            <v>6.0999999999999999E-2</v>
          </cell>
        </row>
        <row r="12">
          <cell r="L12">
            <v>0</v>
          </cell>
          <cell r="O12">
            <v>182.5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435.26316049518937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133">
          <cell r="O133">
            <v>5.7885469663180554E-2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564.51011116472364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9">
        <row r="10">
          <cell r="U10">
            <v>0.50000000000000022</v>
          </cell>
        </row>
        <row r="11">
          <cell r="D11">
            <v>697.31554002434132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820.08441356042749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954.61299309079186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ICEA Prod Espanès Hangar v41"/>
    </sheetNames>
    <definedNames>
      <definedName name="Df" refersTo="='2022'!$Q$379" sheetId="4"/>
      <definedName name="Df" refersTo="='2023'!$Q$379" sheetId="5"/>
      <definedName name="Df" refersTo="='2024'!$Q$379" sheetId="6"/>
      <definedName name="Df" refersTo="='2025'!$Q$379" sheetId="7"/>
      <definedName name="Df" refersTo="='2026'!$Q$379" sheetId="8"/>
      <definedName name="Df" refersTo="='2027'!$Q$379" sheetId="9"/>
      <definedName name="PertePVan" refersTo="='Réglage perte'!$Q$1"/>
      <definedName name="PousH" refersTo="='2022'!$U$10" sheetId="4"/>
      <definedName name="PousH" refersTo="='2023'!$U$10" sheetId="5"/>
      <definedName name="PousH" refersTo="='2024'!$U$10" sheetId="6"/>
      <definedName name="PousH" refersTo="='2025'!$U$10" sheetId="7"/>
      <definedName name="PousH" refersTo="='2026'!$U$10" sheetId="8"/>
      <definedName name="PousH" refersTo="='2027'!$U$10" sheetId="9"/>
      <definedName name="Pspv" refersTo="='2022'!$L$12" sheetId="4"/>
      <definedName name="Pspv" refersTo="='2023'!$L$12" sheetId="5"/>
      <definedName name="Pspv" refersTo="='2024'!$L$12" sheetId="6"/>
      <definedName name="Pspv" refersTo="='2025'!$L$12" sheetId="7"/>
      <definedName name="Pspv" refersTo="='2026'!$L$12" sheetId="8"/>
      <definedName name="Pspv" refersTo="='2027'!$L$12" sheetId="9"/>
      <definedName name="Salim" refersTo="='2022'!$O$11" sheetId="4"/>
      <definedName name="Salim" refersTo="='2023'!$O$11" sheetId="5"/>
      <definedName name="Salim" refersTo="='2024'!$O$11" sheetId="6"/>
      <definedName name="Salim" refersTo="='2025'!$O$11" sheetId="7"/>
      <definedName name="Salim" refersTo="='2026'!$O$11" sheetId="8"/>
      <definedName name="Salim" refersTo="='2027'!$O$11" sheetId="9"/>
      <definedName name="Tau_j" refersTo="='2022'!$O$12" sheetId="4"/>
      <definedName name="Tau_j" refersTo="='2023'!$O$12" sheetId="5"/>
      <definedName name="Tau_j" refersTo="='2024'!$O$12" sheetId="6"/>
      <definedName name="Tau_j" refersTo="='2025'!$O$12" sheetId="7"/>
      <definedName name="Tau_j" refersTo="='2026'!$O$12" sheetId="8"/>
      <definedName name="Tau_j" refersTo="='2027'!$O$12" sheetId="9"/>
      <definedName name="Wh_Ppv" refersTo="='2022'!$D$11" sheetId="4"/>
      <definedName name="Wh_Ppv" refersTo="='2023'!$D$11" sheetId="5"/>
      <definedName name="Wh_Ppv" refersTo="='2024'!$D$11" sheetId="6"/>
      <definedName name="Wh_Ppv" refersTo="='2025'!$D$11" sheetId="7"/>
      <definedName name="Wh_Ppv" refersTo="='2026'!$D$11" sheetId="8"/>
      <definedName name="Wh_Ppv" refersTo="='2027'!$D$11" sheetId="9"/>
    </definedNames>
    <sheetDataSet>
      <sheetData sheetId="0">
        <row r="4">
          <cell r="C4">
            <v>44424</v>
          </cell>
        </row>
        <row r="5">
          <cell r="C5">
            <v>44536</v>
          </cell>
        </row>
        <row r="11">
          <cell r="C11">
            <v>975.46900518979078</v>
          </cell>
          <cell r="D11">
            <v>1.9670278367604659</v>
          </cell>
          <cell r="K11" t="str">
            <v/>
          </cell>
        </row>
        <row r="12">
          <cell r="C12">
            <v>639.79464943285348</v>
          </cell>
          <cell r="D12">
            <v>5.1830957052211239</v>
          </cell>
          <cell r="K12">
            <v>45046</v>
          </cell>
        </row>
        <row r="13">
          <cell r="C13">
            <v>486.46759049234277</v>
          </cell>
          <cell r="D13">
            <v>8.7041516938919852</v>
          </cell>
          <cell r="H13">
            <v>1070.5035962329343</v>
          </cell>
          <cell r="I13">
            <v>-0.20028882294843342</v>
          </cell>
          <cell r="K13">
            <v>45412</v>
          </cell>
          <cell r="M13">
            <v>1473.5435443337005</v>
          </cell>
        </row>
        <row r="14">
          <cell r="C14">
            <v>481.52329374592892</v>
          </cell>
          <cell r="D14">
            <v>12.255709894967939</v>
          </cell>
          <cell r="H14">
            <v>952.91680659858707</v>
          </cell>
          <cell r="I14">
            <v>-0.25261124111310274</v>
          </cell>
        </row>
        <row r="15">
          <cell r="C15">
            <v>479.03787907499185</v>
          </cell>
          <cell r="D15">
            <v>16.258100513360468</v>
          </cell>
          <cell r="H15">
            <v>947.56887688847632</v>
          </cell>
          <cell r="I15">
            <v>-0.33494260042720825</v>
          </cell>
        </row>
        <row r="16">
          <cell r="C16">
            <v>476.55863655443972</v>
          </cell>
          <cell r="D16">
            <v>20.497132578349117</v>
          </cell>
          <cell r="H16">
            <v>942.71220310918056</v>
          </cell>
          <cell r="I16">
            <v>-0.42227658321433026</v>
          </cell>
        </row>
        <row r="17">
          <cell r="H17">
            <v>940.2586555011834</v>
          </cell>
        </row>
        <row r="18">
          <cell r="H18">
            <v>933.50161614477724</v>
          </cell>
        </row>
        <row r="19">
          <cell r="H19">
            <v>928.17648575562976</v>
          </cell>
        </row>
        <row r="20">
          <cell r="H20">
            <v>923.38474066590368</v>
          </cell>
        </row>
        <row r="32">
          <cell r="M32">
            <v>1</v>
          </cell>
          <cell r="N32">
            <v>939.10004379462282</v>
          </cell>
          <cell r="O32">
            <v>2.0579852973805508E-2</v>
          </cell>
        </row>
        <row r="35">
          <cell r="C35">
            <v>2.9436928440858216E-2</v>
          </cell>
          <cell r="E35">
            <v>4.9229731676435412E-3</v>
          </cell>
          <cell r="F35">
            <v>2.0742102046489776E-2</v>
          </cell>
          <cell r="G35">
            <v>4.0972298304039836E-5</v>
          </cell>
        </row>
        <row r="36">
          <cell r="E36">
            <v>9.376929279482079E-3</v>
          </cell>
          <cell r="F36">
            <v>1.3615772616826449E-2</v>
          </cell>
          <cell r="G36">
            <v>1.0880850785405503E-4</v>
          </cell>
        </row>
        <row r="37">
          <cell r="E37">
            <v>1.4431412728468049E-2</v>
          </cell>
          <cell r="F37">
            <v>1.0306745343126452E-2</v>
          </cell>
          <cell r="G37">
            <v>1.8250589579025668E-4</v>
          </cell>
        </row>
        <row r="38">
          <cell r="E38">
            <v>1.9523178423596542E-2</v>
          </cell>
          <cell r="F38">
            <v>1.0216404311971955E-2</v>
          </cell>
          <cell r="G38">
            <v>2.573469870282877E-4</v>
          </cell>
        </row>
        <row r="39">
          <cell r="E39">
            <v>2.4629988076848269E-2</v>
          </cell>
          <cell r="F39">
            <v>1.0165098615690109E-2</v>
          </cell>
          <cell r="G39">
            <v>3.4143776893301675E-4</v>
          </cell>
        </row>
        <row r="40">
          <cell r="E40">
            <v>2.9762391571273677E-2</v>
          </cell>
          <cell r="F40">
            <v>1.0114003181657297E-2</v>
          </cell>
          <cell r="G40">
            <v>4.3052666803561384E-4</v>
          </cell>
        </row>
        <row r="61">
          <cell r="K61">
            <v>4.3086129638973665</v>
          </cell>
          <cell r="L61">
            <v>3.2243383969993311</v>
          </cell>
          <cell r="M61">
            <v>2.6391249925482336</v>
          </cell>
        </row>
        <row r="62">
          <cell r="B62">
            <v>3.0645266502289985</v>
          </cell>
          <cell r="C62">
            <v>4.1351957264920927</v>
          </cell>
          <cell r="D62">
            <v>5.291943986766503</v>
          </cell>
          <cell r="E62">
            <v>6.1967222626061709</v>
          </cell>
          <cell r="F62">
            <v>6.8503280039899899</v>
          </cell>
          <cell r="G62">
            <v>6.9515379355347555</v>
          </cell>
          <cell r="H62">
            <v>6.7487782370580698</v>
          </cell>
          <cell r="I62">
            <v>6.2307273222823509</v>
          </cell>
          <cell r="J62">
            <v>5.4232125946079606</v>
          </cell>
        </row>
      </sheetData>
      <sheetData sheetId="1"/>
      <sheetData sheetId="2"/>
      <sheetData sheetId="3">
        <row r="1">
          <cell r="Q1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230.38563798453106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0.49999999999999994</v>
          </cell>
        </row>
        <row r="11">
          <cell r="D11">
            <v>436.52144099080033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3.4993230934781447E-2</v>
          </cell>
        </row>
        <row r="379">
          <cell r="Q379">
            <v>0.5</v>
          </cell>
        </row>
      </sheetData>
      <sheetData sheetId="6">
        <row r="10">
          <cell r="U10">
            <v>0.5</v>
          </cell>
        </row>
        <row r="11">
          <cell r="D11">
            <v>671.45749292759137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0.5</v>
          </cell>
        </row>
        <row r="11">
          <cell r="D11">
            <v>902.55286455410533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0.5</v>
          </cell>
        </row>
        <row r="11">
          <cell r="D11">
            <v>1132.8056302234327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9">
        <row r="10">
          <cell r="U10">
            <v>0.5</v>
          </cell>
        </row>
        <row r="11">
          <cell r="D11">
            <v>1361.8336407628231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ICEA Prod Montgiscard SDIS v41"/>
    </sheetNames>
    <definedNames>
      <definedName name="Df" refersTo="='2022'!$Q$379" sheetId="4"/>
      <definedName name="Df" refersTo="='2023'!$Q$379" sheetId="5"/>
      <definedName name="Df" refersTo="='2024'!$Q$379" sheetId="6"/>
      <definedName name="Df" refersTo="='2025'!$Q$379" sheetId="7"/>
      <definedName name="Df" refersTo="='2026'!$Q$379" sheetId="8"/>
      <definedName name="Df" refersTo="='2027'!$Q$379" sheetId="9"/>
      <definedName name="PertePVan" refersTo="='Réglage perte'!$Q$1"/>
      <definedName name="PousH" refersTo="='2022'!$U$10" sheetId="4"/>
      <definedName name="PousH" refersTo="='2023'!$U$10" sheetId="5"/>
      <definedName name="PousH" refersTo="='2024'!$U$10" sheetId="6"/>
      <definedName name="PousH" refersTo="='2025'!$U$10" sheetId="7"/>
      <definedName name="PousH" refersTo="='2026'!$U$10" sheetId="8"/>
      <definedName name="PousH" refersTo="='2027'!$U$10" sheetId="9"/>
      <definedName name="Pspv" refersTo="='2022'!$L$12" sheetId="4"/>
      <definedName name="Pspv" refersTo="='2023'!$L$12" sheetId="5"/>
      <definedName name="Pspv" refersTo="='2024'!$L$12" sheetId="6"/>
      <definedName name="Pspv" refersTo="='2025'!$L$12" sheetId="7"/>
      <definedName name="Pspv" refersTo="='2026'!$L$12" sheetId="8"/>
      <definedName name="Pspv" refersTo="='2027'!$L$12" sheetId="9"/>
      <definedName name="Salim" refersTo="='2022'!$O$11" sheetId="4"/>
      <definedName name="Salim" refersTo="='2023'!$O$11" sheetId="5"/>
      <definedName name="Salim" refersTo="='2024'!$O$11" sheetId="6"/>
      <definedName name="Salim" refersTo="='2025'!$O$11" sheetId="7"/>
      <definedName name="Salim" refersTo="='2026'!$O$11" sheetId="8"/>
      <definedName name="Salim" refersTo="='2027'!$O$11" sheetId="9"/>
      <definedName name="Tau_j" refersTo="='2022'!$O$12" sheetId="4"/>
      <definedName name="Tau_j" refersTo="='2023'!$O$12" sheetId="5"/>
      <definedName name="Tau_j" refersTo="='2024'!$O$12" sheetId="6"/>
      <definedName name="Tau_j" refersTo="='2025'!$O$12" sheetId="7"/>
      <definedName name="Tau_j" refersTo="='2026'!$O$12" sheetId="8"/>
      <definedName name="Tau_j" refersTo="='2027'!$O$12" sheetId="9"/>
      <definedName name="Wh_Ppv" refersTo="='2022'!$D$11" sheetId="4"/>
      <definedName name="Wh_Ppv" refersTo="='2023'!$D$11" sheetId="5"/>
      <definedName name="Wh_Ppv" refersTo="='2024'!$D$11" sheetId="6"/>
      <definedName name="Wh_Ppv" refersTo="='2025'!$D$11" sheetId="7"/>
      <definedName name="Wh_Ppv" refersTo="='2026'!$D$11" sheetId="8"/>
      <definedName name="Wh_Ppv" refersTo="='2027'!$D$11" sheetId="9"/>
    </definedNames>
    <sheetDataSet>
      <sheetData sheetId="0">
        <row r="4">
          <cell r="C4">
            <v>44522</v>
          </cell>
        </row>
        <row r="5">
          <cell r="C5">
            <v>44568</v>
          </cell>
        </row>
        <row r="11">
          <cell r="C11">
            <v>171.33526937231565</v>
          </cell>
          <cell r="D11">
            <v>1.4252258981740151</v>
          </cell>
          <cell r="K11" t="str">
            <v/>
          </cell>
        </row>
        <row r="12">
          <cell r="C12">
            <v>138.62298861166656</v>
          </cell>
          <cell r="D12">
            <v>3.6694229552775139</v>
          </cell>
          <cell r="K12">
            <v>45046</v>
          </cell>
        </row>
        <row r="13">
          <cell r="C13">
            <v>115.57516329161803</v>
          </cell>
          <cell r="D13">
            <v>6.0973626868877728</v>
          </cell>
          <cell r="H13">
            <v>253.43448744241709</v>
          </cell>
          <cell r="I13">
            <v>-0.13533587779502554</v>
          </cell>
          <cell r="K13">
            <v>45412</v>
          </cell>
          <cell r="M13">
            <v>319.22538478051013</v>
          </cell>
        </row>
        <row r="14">
          <cell r="C14">
            <v>114.30925661176516</v>
          </cell>
          <cell r="D14">
            <v>8.4150902076946306</v>
          </cell>
          <cell r="H14">
            <v>235.07971248301672</v>
          </cell>
          <cell r="I14">
            <v>-0.17434805365170014</v>
          </cell>
        </row>
        <row r="15">
          <cell r="C15">
            <v>113.67255485089302</v>
          </cell>
          <cell r="D15">
            <v>11.041678856528723</v>
          </cell>
          <cell r="H15">
            <v>233.71559572543342</v>
          </cell>
          <cell r="I15">
            <v>-0.22866738012861987</v>
          </cell>
        </row>
        <row r="16">
          <cell r="C16">
            <v>113.03463521453477</v>
          </cell>
          <cell r="D16">
            <v>13.795922481066674</v>
          </cell>
          <cell r="H16">
            <v>232.46380149270334</v>
          </cell>
          <cell r="I16">
            <v>-0.2857169962936883</v>
          </cell>
        </row>
        <row r="17">
          <cell r="H17">
            <v>231.73956444570899</v>
          </cell>
        </row>
        <row r="18">
          <cell r="H18">
            <v>230.05360332008377</v>
          </cell>
        </row>
        <row r="19">
          <cell r="H19">
            <v>228.67120159537595</v>
          </cell>
        </row>
        <row r="20">
          <cell r="H20">
            <v>227.43550800873794</v>
          </cell>
        </row>
        <row r="32">
          <cell r="M32">
            <v>1</v>
          </cell>
          <cell r="N32">
            <v>231.51997830190507</v>
          </cell>
          <cell r="O32">
            <v>2.0649165616888156E-2</v>
          </cell>
        </row>
        <row r="35">
          <cell r="C35">
            <v>2.4698364221137914E-2</v>
          </cell>
          <cell r="E35">
            <v>2.8173571074794528E-3</v>
          </cell>
          <cell r="F35">
            <v>1.4934919672471136E-2</v>
          </cell>
          <cell r="G35">
            <v>1.224006221423847E-4</v>
          </cell>
        </row>
        <row r="36">
          <cell r="E36">
            <v>8.0155113741081866E-3</v>
          </cell>
          <cell r="F36">
            <v>1.2015904358536724E-2</v>
          </cell>
          <cell r="G36">
            <v>3.1426087190401558E-4</v>
          </cell>
        </row>
        <row r="37">
          <cell r="E37">
            <v>1.3064450555766908E-2</v>
          </cell>
          <cell r="F37">
            <v>9.9909554869409035E-3</v>
          </cell>
          <cell r="G37">
            <v>5.2180823646235752E-4</v>
          </cell>
        </row>
        <row r="38">
          <cell r="E38">
            <v>1.8149805888248296E-2</v>
          </cell>
          <cell r="F38">
            <v>9.8953355167520057E-3</v>
          </cell>
          <cell r="G38">
            <v>7.2119765496776972E-4</v>
          </cell>
        </row>
        <row r="39">
          <cell r="E39">
            <v>2.324954126503663E-2</v>
          </cell>
          <cell r="F39">
            <v>9.8440413146778458E-3</v>
          </cell>
          <cell r="G39">
            <v>9.4667344385943888E-4</v>
          </cell>
        </row>
        <row r="40">
          <cell r="E40">
            <v>2.8374862983931059E-2</v>
          </cell>
          <cell r="F40">
            <v>9.7928260453526549E-3</v>
          </cell>
          <cell r="G40">
            <v>1.183301667826903E-3</v>
          </cell>
        </row>
        <row r="61">
          <cell r="K61">
            <v>3.7998689759698356</v>
          </cell>
          <cell r="L61">
            <v>2.5955073444707137</v>
          </cell>
          <cell r="M61">
            <v>1.9108614027620487</v>
          </cell>
        </row>
        <row r="62">
          <cell r="B62">
            <v>2.303335035196441</v>
          </cell>
          <cell r="C62">
            <v>3.4198258898255309</v>
          </cell>
          <cell r="D62">
            <v>4.8027926651767041</v>
          </cell>
          <cell r="E62">
            <v>6.1472661054255084</v>
          </cell>
          <cell r="F62">
            <v>7.0139030823795459</v>
          </cell>
          <cell r="G62">
            <v>7.1545897858096703</v>
          </cell>
          <cell r="H62">
            <v>6.8609200652999869</v>
          </cell>
          <cell r="I62">
            <v>6.1157628676085167</v>
          </cell>
          <cell r="J62">
            <v>5.120474420651127</v>
          </cell>
        </row>
      </sheetData>
      <sheetData sheetId="1"/>
      <sheetData sheetId="2"/>
      <sheetData sheetId="3">
        <row r="1">
          <cell r="Q1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32.230269487068654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0.5</v>
          </cell>
        </row>
        <row r="11">
          <cell r="D11">
            <v>91.73663684694111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3.0700399563379131E-2</v>
          </cell>
        </row>
        <row r="379">
          <cell r="Q379">
            <v>0.5</v>
          </cell>
        </row>
      </sheetData>
      <sheetData sheetId="6">
        <row r="10">
          <cell r="U10">
            <v>0.49999999999999989</v>
          </cell>
        </row>
        <row r="11">
          <cell r="D11">
            <v>149.18033065945201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0.49999999999999978</v>
          </cell>
        </row>
        <row r="11">
          <cell r="D11">
            <v>205.92599733151837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0.49999999999999978</v>
          </cell>
        </row>
        <row r="11">
          <cell r="D11">
            <v>262.37051214135681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9">
        <row r="10">
          <cell r="U10">
            <v>0.49999999999999956</v>
          </cell>
        </row>
        <row r="11">
          <cell r="D11">
            <v>318.48267897577716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urevill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43243</v>
          </cell>
        </row>
        <row r="5">
          <cell r="C5">
            <v>43272</v>
          </cell>
        </row>
        <row r="11">
          <cell r="D11">
            <v>1.6747213134869068</v>
          </cell>
        </row>
        <row r="12">
          <cell r="D12">
            <v>6.4202606135542934</v>
          </cell>
        </row>
        <row r="13">
          <cell r="D13">
            <v>9.6003169398723021</v>
          </cell>
        </row>
        <row r="14">
          <cell r="C14">
            <v>404.81144990838033</v>
          </cell>
          <cell r="D14">
            <v>13.835903972977185</v>
          </cell>
          <cell r="H14">
            <v>601.44417563785896</v>
          </cell>
          <cell r="I14">
            <v>-0.76147889062777985</v>
          </cell>
          <cell r="K14">
            <v>44306</v>
          </cell>
        </row>
        <row r="15">
          <cell r="C15">
            <v>795.70679483449362</v>
          </cell>
          <cell r="D15">
            <v>20.218995020307105</v>
          </cell>
          <cell r="H15">
            <v>541.48431288720531</v>
          </cell>
          <cell r="I15">
            <v>-1.028148077575409</v>
          </cell>
          <cell r="K15" t="str">
            <v/>
          </cell>
        </row>
        <row r="16">
          <cell r="C16">
            <v>497.26301737182001</v>
          </cell>
          <cell r="D16">
            <v>25.837520763331636</v>
          </cell>
          <cell r="H16">
            <v>898.04591297518277</v>
          </cell>
          <cell r="I16">
            <v>-2.1466251426651226</v>
          </cell>
          <cell r="K16">
            <v>45046</v>
          </cell>
        </row>
        <row r="17">
          <cell r="C17">
            <v>315.74740777644956</v>
          </cell>
          <cell r="D17">
            <v>32.999485810719236</v>
          </cell>
          <cell r="H17">
            <v>550.92987324325168</v>
          </cell>
          <cell r="I17">
            <v>-1.6684058828595845</v>
          </cell>
        </row>
        <row r="18">
          <cell r="C18">
            <v>312.60558634856272</v>
          </cell>
          <cell r="D18">
            <v>6.4372352160026365</v>
          </cell>
          <cell r="H18">
            <v>414.67026961866952</v>
          </cell>
          <cell r="I18">
            <v>32.253311422466872</v>
          </cell>
          <cell r="K18">
            <v>45777</v>
          </cell>
          <cell r="M18">
            <v>417.63839223114803</v>
          </cell>
        </row>
        <row r="19">
          <cell r="C19">
            <v>310.31070575420375</v>
          </cell>
          <cell r="D19">
            <v>6.3676122874584884</v>
          </cell>
          <cell r="H19">
            <v>410.52312800517728</v>
          </cell>
          <cell r="I19">
            <v>40.537427507226695</v>
          </cell>
        </row>
        <row r="20">
          <cell r="C20">
            <v>307.71500344754594</v>
          </cell>
          <cell r="D20">
            <v>10.52467779728709</v>
          </cell>
          <cell r="H20">
            <v>406.64093583722052</v>
          </cell>
          <cell r="I20">
            <v>45.210663444758282</v>
          </cell>
        </row>
        <row r="32">
          <cell r="M32">
            <v>1</v>
          </cell>
          <cell r="N32">
            <v>397.98196152094204</v>
          </cell>
          <cell r="O32">
            <v>3.8165991631462899E-2</v>
          </cell>
        </row>
        <row r="35">
          <cell r="E35">
            <v>2.3974021512186898E-3</v>
          </cell>
          <cell r="F35">
            <v>1.3832790032349813E-2</v>
          </cell>
          <cell r="G35">
            <v>2.9037155300816318E-4</v>
          </cell>
        </row>
        <row r="36">
          <cell r="E36">
            <v>8.691787015430141E-3</v>
          </cell>
          <cell r="F36">
            <v>4.64662655805008E-2</v>
          </cell>
          <cell r="G36">
            <v>5.4181857619343932E-4</v>
          </cell>
        </row>
        <row r="37">
          <cell r="E37">
            <v>1.6822207052419276E-2</v>
          </cell>
          <cell r="F37">
            <v>7.9871403999922944E-2</v>
          </cell>
          <cell r="G37">
            <v>8.2999836663269315E-4</v>
          </cell>
        </row>
        <row r="38">
          <cell r="E38">
            <v>2.5120862823189982E-2</v>
          </cell>
          <cell r="F38">
            <v>3.6164232981732221E-2</v>
          </cell>
          <cell r="G38">
            <v>1.1918587898579105E-3</v>
          </cell>
          <cell r="L38">
            <v>7.6966161784992645E-2</v>
          </cell>
        </row>
        <row r="39">
          <cell r="C39">
            <v>9.737976641309172E-2</v>
          </cell>
          <cell r="E39">
            <v>3.3068068815850199E-2</v>
          </cell>
          <cell r="F39">
            <v>7.1997045409124799E-2</v>
          </cell>
          <cell r="G39">
            <v>1.7028019052896266E-3</v>
          </cell>
        </row>
        <row r="40">
          <cell r="E40">
            <v>4.1692293058189847E-2</v>
          </cell>
          <cell r="F40">
            <v>4.4182741771424353E-2</v>
          </cell>
          <cell r="G40">
            <v>2.1947009423604344E-3</v>
          </cell>
        </row>
        <row r="41">
          <cell r="E41">
            <v>5.0017211695337925E-2</v>
          </cell>
          <cell r="F41">
            <v>2.7580049148588706E-2</v>
          </cell>
          <cell r="G41">
            <v>2.8013290345039249E-3</v>
          </cell>
        </row>
        <row r="42">
          <cell r="E42">
            <v>5.8465582143660023E-2</v>
          </cell>
          <cell r="F42">
            <v>2.725610065455664E-2</v>
          </cell>
          <cell r="G42">
            <v>5.4552474671603658E-4</v>
          </cell>
        </row>
        <row r="43">
          <cell r="E43">
            <v>6.6959312333812082E-2</v>
          </cell>
          <cell r="F43">
            <v>2.7052036046563255E-2</v>
          </cell>
          <cell r="G43">
            <v>5.3953805634694187E-4</v>
          </cell>
        </row>
        <row r="44">
          <cell r="E44">
            <v>7.5523085675424623E-2</v>
          </cell>
          <cell r="F44">
            <v>2.6839865441007364E-2</v>
          </cell>
          <cell r="G44">
            <v>8.9223915527896695E-4</v>
          </cell>
        </row>
        <row r="65">
          <cell r="K65">
            <v>4.0841118083674708</v>
          </cell>
          <cell r="L65">
            <v>3.1752480649391739</v>
          </cell>
          <cell r="M65">
            <v>2.6439990622971727</v>
          </cell>
        </row>
        <row r="66">
          <cell r="B66">
            <v>3.0988146157156704</v>
          </cell>
          <cell r="C66">
            <v>3.9914286460171899</v>
          </cell>
          <cell r="D66">
            <v>4.8524191343726741</v>
          </cell>
          <cell r="E66">
            <v>5.4725161667464324</v>
          </cell>
          <cell r="F66">
            <v>6.2802665902210322</v>
          </cell>
          <cell r="G66">
            <v>6.1406800562559383</v>
          </cell>
          <cell r="H66">
            <v>5.8312214930842439</v>
          </cell>
          <cell r="I66">
            <v>5.4779172150279374</v>
          </cell>
          <cell r="J66">
            <v>5.041209138400716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8.0000000000000002E-3</v>
          </cell>
        </row>
      </sheetData>
      <sheetData sheetId="4">
        <row r="10">
          <cell r="U10">
            <v>0.5</v>
          </cell>
        </row>
        <row r="11">
          <cell r="D11">
            <v>13.605324335426303</v>
          </cell>
          <cell r="O11">
            <v>0.14000000000000001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97.534114424604923</v>
          </cell>
          <cell r="O11">
            <v>0.08</v>
          </cell>
        </row>
        <row r="12">
          <cell r="L12">
            <v>0</v>
          </cell>
          <cell r="O12">
            <v>182.5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176.98408528951586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274.30454854463824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353.7677886955953</v>
          </cell>
          <cell r="O11">
            <v>0.18</v>
          </cell>
        </row>
        <row r="12">
          <cell r="L12">
            <v>0</v>
          </cell>
          <cell r="O12">
            <v>620.5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450.45335823762616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133">
          <cell r="O133">
            <v>0.11292846769042036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545.34058224744876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633.51448303822326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2">
        <row r="10">
          <cell r="U10">
            <v>0.5</v>
          </cell>
        </row>
        <row r="11">
          <cell r="D11">
            <v>719.87970197420691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3">
        <row r="10">
          <cell r="U10">
            <v>0.5</v>
          </cell>
        </row>
        <row r="11">
          <cell r="D11">
            <v>805.06014418652376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yguesvives MJC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43250</v>
          </cell>
        </row>
        <row r="5">
          <cell r="C5">
            <v>43297</v>
          </cell>
        </row>
        <row r="11">
          <cell r="C11">
            <v>36.932606393934712</v>
          </cell>
          <cell r="D11">
            <v>0.21713339725458305</v>
          </cell>
        </row>
        <row r="12">
          <cell r="C12">
            <v>285.97822596912249</v>
          </cell>
          <cell r="D12">
            <v>1.0249109382217445</v>
          </cell>
        </row>
        <row r="13">
          <cell r="C13">
            <v>455.92146644226523</v>
          </cell>
          <cell r="D13">
            <v>1.6939645180345639</v>
          </cell>
        </row>
        <row r="14">
          <cell r="C14">
            <v>249.67904070489021</v>
          </cell>
          <cell r="D14">
            <v>2.2191368537490663</v>
          </cell>
          <cell r="H14">
            <v>317.16402703247957</v>
          </cell>
          <cell r="I14">
            <v>-6.4182154756231125E-2</v>
          </cell>
          <cell r="K14">
            <v>44306</v>
          </cell>
        </row>
        <row r="15">
          <cell r="C15">
            <v>464.549706459432</v>
          </cell>
          <cell r="D15">
            <v>3.1671333457043644</v>
          </cell>
          <cell r="H15">
            <v>310.77354477397688</v>
          </cell>
          <cell r="I15">
            <v>-9.003125290007441E-2</v>
          </cell>
          <cell r="K15" t="str">
            <v/>
          </cell>
        </row>
        <row r="16">
          <cell r="C16">
            <v>293.21311823019437</v>
          </cell>
          <cell r="D16">
            <v>3.9246869540588731</v>
          </cell>
          <cell r="H16">
            <v>497.57612156511198</v>
          </cell>
          <cell r="I16">
            <v>-0.1776523058629067</v>
          </cell>
          <cell r="K16">
            <v>45046</v>
          </cell>
        </row>
        <row r="17">
          <cell r="C17">
            <v>412.89279851164281</v>
          </cell>
          <cell r="D17">
            <v>4.6824679536175378</v>
          </cell>
          <cell r="H17">
            <v>415.62294060144882</v>
          </cell>
          <cell r="I17">
            <v>-0.18032715621491313</v>
          </cell>
        </row>
        <row r="18">
          <cell r="C18">
            <v>259.5432740334428</v>
          </cell>
          <cell r="D18">
            <v>1.0059604954952031</v>
          </cell>
          <cell r="H18">
            <v>427.73418065631802</v>
          </cell>
          <cell r="I18">
            <v>4.3107115538216805</v>
          </cell>
          <cell r="K18">
            <v>45777</v>
          </cell>
          <cell r="M18">
            <v>933.84071816969697</v>
          </cell>
        </row>
        <row r="19">
          <cell r="C19">
            <v>405.82634983354632</v>
          </cell>
          <cell r="D19">
            <v>0.92419477163766772</v>
          </cell>
          <cell r="H19">
            <v>329.02661528377888</v>
          </cell>
          <cell r="I19">
            <v>5.1622134433750571</v>
          </cell>
        </row>
        <row r="20">
          <cell r="C20">
            <v>255.32090306490656</v>
          </cell>
          <cell r="D20">
            <v>1.6027240381398509</v>
          </cell>
          <cell r="H20">
            <v>405.18155993065091</v>
          </cell>
          <cell r="I20">
            <v>5.3646407530639699</v>
          </cell>
        </row>
        <row r="32">
          <cell r="M32">
            <v>2</v>
          </cell>
          <cell r="N32">
            <v>372.28690427170903</v>
          </cell>
          <cell r="O32">
            <v>3.4490450661006686E-2</v>
          </cell>
        </row>
        <row r="35">
          <cell r="E35">
            <v>2.5877376710289469E-3</v>
          </cell>
          <cell r="F35">
            <v>8.4529321930039529E-3</v>
          </cell>
          <cell r="G35">
            <v>4.9278672711253576E-5</v>
          </cell>
        </row>
        <row r="36">
          <cell r="E36">
            <v>8.5781075074727754E-3</v>
          </cell>
          <cell r="F36">
            <v>2.4484271937245897E-2</v>
          </cell>
          <cell r="G36">
            <v>8.5633961257515763E-5</v>
          </cell>
        </row>
        <row r="37">
          <cell r="E37">
            <v>1.6671419666160758E-2</v>
          </cell>
          <cell r="F37">
            <v>4.0275122779894493E-2</v>
          </cell>
          <cell r="G37">
            <v>1.4375491578859137E-4</v>
          </cell>
        </row>
        <row r="38">
          <cell r="E38">
            <v>2.4305450568618988E-2</v>
          </cell>
          <cell r="F38">
            <v>2.2240989009378057E-2</v>
          </cell>
          <cell r="G38">
            <v>1.9327389647250901E-4</v>
          </cell>
          <cell r="L38">
            <v>4.1728153322544911E-2</v>
          </cell>
        </row>
        <row r="39">
          <cell r="C39">
            <v>5.4012454682629565E-2</v>
          </cell>
          <cell r="E39">
            <v>3.1657874740773459E-2</v>
          </cell>
          <cell r="F39">
            <v>4.0878522946332305E-2</v>
          </cell>
          <cell r="G39">
            <v>2.6741741248463818E-4</v>
          </cell>
        </row>
        <row r="40">
          <cell r="E40">
            <v>4.0213896361260701E-2</v>
          </cell>
          <cell r="F40">
            <v>2.5652885496264516E-2</v>
          </cell>
          <cell r="G40">
            <v>3.3444202735636946E-4</v>
          </cell>
        </row>
        <row r="41">
          <cell r="E41">
            <v>4.852327079753764E-2</v>
          </cell>
          <cell r="F41">
            <v>3.6482143227972177E-2</v>
          </cell>
          <cell r="G41">
            <v>3.9848769563406185E-4</v>
          </cell>
        </row>
        <row r="42">
          <cell r="E42">
            <v>5.697518443593378E-2</v>
          </cell>
          <cell r="F42">
            <v>2.2638076664082969E-2</v>
          </cell>
          <cell r="G42">
            <v>8.5692202044870586E-5</v>
          </cell>
        </row>
        <row r="43">
          <cell r="E43">
            <v>6.5418593711729686E-2</v>
          </cell>
          <cell r="F43">
            <v>3.5891238011889467E-2</v>
          </cell>
          <cell r="G43">
            <v>7.8725292946907647E-5</v>
          </cell>
        </row>
        <row r="44">
          <cell r="E44">
            <v>7.3988690933910181E-2</v>
          </cell>
          <cell r="F44">
            <v>2.2271072429719381E-2</v>
          </cell>
          <cell r="G44">
            <v>1.3653624606274967E-4</v>
          </cell>
        </row>
        <row r="65">
          <cell r="K65">
            <v>4.1576005432148433</v>
          </cell>
          <cell r="L65">
            <v>3.1862420245183412</v>
          </cell>
          <cell r="M65">
            <v>2.6056088428202466</v>
          </cell>
        </row>
        <row r="66">
          <cell r="B66">
            <v>3.0079519454870631</v>
          </cell>
          <cell r="C66">
            <v>4.015348974760224</v>
          </cell>
          <cell r="D66">
            <v>5.0360814342761229</v>
          </cell>
          <cell r="E66">
            <v>5.8274762868277294</v>
          </cell>
          <cell r="F66">
            <v>6.4073576662790908</v>
          </cell>
          <cell r="G66">
            <v>6.2994960341658803</v>
          </cell>
          <cell r="H66">
            <v>6.0603256205831499</v>
          </cell>
          <cell r="I66">
            <v>5.7379708870962904</v>
          </cell>
          <cell r="J66">
            <v>5.1751070166613751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5.4999999999999997E-3</v>
          </cell>
        </row>
      </sheetData>
      <sheetData sheetId="4">
        <row r="10">
          <cell r="U10">
            <v>0.3</v>
          </cell>
        </row>
        <row r="11">
          <cell r="D11">
            <v>11.277177908806152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5">
        <row r="10">
          <cell r="U10">
            <v>0.3</v>
          </cell>
        </row>
        <row r="11">
          <cell r="D11">
            <v>99.340815579875198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6">
        <row r="10">
          <cell r="U10">
            <v>0.3</v>
          </cell>
        </row>
        <row r="11">
          <cell r="D11">
            <v>185.62870582959113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7">
        <row r="10">
          <cell r="U10">
            <v>0.3</v>
          </cell>
        </row>
        <row r="11">
          <cell r="D11">
            <v>266.3803493750911</v>
          </cell>
          <cell r="O11">
            <v>0.08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8">
        <row r="10">
          <cell r="U10">
            <v>0.30000000000000004</v>
          </cell>
        </row>
        <row r="11">
          <cell r="D11">
            <v>348.72497652425955</v>
          </cell>
          <cell r="O11">
            <v>0.12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9">
        <row r="10">
          <cell r="U10">
            <v>0.30000000000000004</v>
          </cell>
        </row>
        <row r="11">
          <cell r="D11">
            <v>441.87626756516693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133">
          <cell r="O133">
            <v>6.241199358046659E-2</v>
          </cell>
        </row>
        <row r="379">
          <cell r="Q379">
            <v>0.5</v>
          </cell>
        </row>
      </sheetData>
      <sheetData sheetId="10">
        <row r="10">
          <cell r="U10">
            <v>0.30000000000000004</v>
          </cell>
        </row>
        <row r="11">
          <cell r="D11">
            <v>523.75593603872767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1">
        <row r="10">
          <cell r="U10">
            <v>0.30000000000000004</v>
          </cell>
        </row>
        <row r="11">
          <cell r="D11">
            <v>618.00387907886034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2">
        <row r="10">
          <cell r="U10">
            <v>0.3</v>
          </cell>
        </row>
        <row r="11">
          <cell r="D11">
            <v>694.27693107947744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3">
        <row r="10">
          <cell r="U10">
            <v>0.3</v>
          </cell>
        </row>
        <row r="11">
          <cell r="D11">
            <v>789.78862912787918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Labège garderi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43259</v>
          </cell>
        </row>
        <row r="5">
          <cell r="C5">
            <v>43301</v>
          </cell>
        </row>
        <row r="11">
          <cell r="C11">
            <v>30.609239625815459</v>
          </cell>
          <cell r="D11">
            <v>6.5772109419627092E-2</v>
          </cell>
        </row>
        <row r="12">
          <cell r="C12">
            <v>253.32286439712462</v>
          </cell>
          <cell r="D12">
            <v>0.25578101805789927</v>
          </cell>
        </row>
        <row r="13">
          <cell r="C13">
            <v>457.78952847373029</v>
          </cell>
          <cell r="D13">
            <v>0.45840007211875244</v>
          </cell>
        </row>
        <row r="14">
          <cell r="C14">
            <v>280.10141859979717</v>
          </cell>
          <cell r="D14">
            <v>0.65631323847225664</v>
          </cell>
          <cell r="H14">
            <v>407.63927244838794</v>
          </cell>
          <cell r="I14">
            <v>-2.4040267854287145E-2</v>
          </cell>
          <cell r="K14">
            <v>44307</v>
          </cell>
        </row>
        <row r="15">
          <cell r="C15">
            <v>471.85430734159564</v>
          </cell>
          <cell r="D15">
            <v>1.0086186289503065</v>
          </cell>
          <cell r="H15">
            <v>386.73051037232443</v>
          </cell>
          <cell r="I15">
            <v>-3.5250962824366794E-2</v>
          </cell>
          <cell r="K15" t="str">
            <v/>
          </cell>
        </row>
        <row r="16">
          <cell r="C16">
            <v>295.5279462288367</v>
          </cell>
          <cell r="D16">
            <v>1.2896956383190061</v>
          </cell>
          <cell r="H16">
            <v>507.48455097532593</v>
          </cell>
          <cell r="I16">
            <v>-5.91716952083301E-2</v>
          </cell>
          <cell r="K16">
            <v>45046</v>
          </cell>
        </row>
        <row r="17">
          <cell r="C17">
            <v>465.67846509484457</v>
          </cell>
          <cell r="D17">
            <v>1.7228126081934876</v>
          </cell>
          <cell r="H17">
            <v>418.28751950970809</v>
          </cell>
          <cell r="I17">
            <v>-6.6658118742486616E-2</v>
          </cell>
        </row>
        <row r="18">
          <cell r="C18">
            <v>283.47408840734846</v>
          </cell>
          <cell r="D18">
            <v>0.43395700085266214</v>
          </cell>
          <cell r="H18">
            <v>491.15863445570727</v>
          </cell>
          <cell r="I18">
            <v>1.7350957376400948</v>
          </cell>
          <cell r="K18">
            <v>45777</v>
          </cell>
          <cell r="M18">
            <v>938.51832075403502</v>
          </cell>
        </row>
        <row r="19">
          <cell r="C19">
            <v>457.57287554658245</v>
          </cell>
          <cell r="D19">
            <v>0.23097491174699539</v>
          </cell>
          <cell r="H19">
            <v>389.97881257934006</v>
          </cell>
          <cell r="I19">
            <v>2.5139966386656636</v>
          </cell>
        </row>
        <row r="20">
          <cell r="C20">
            <v>278.85331757483499</v>
          </cell>
          <cell r="D20">
            <v>0.42973567747980912</v>
          </cell>
          <cell r="H20">
            <v>478.92894850044974</v>
          </cell>
          <cell r="I20">
            <v>2.9789861757049763</v>
          </cell>
        </row>
        <row r="32">
          <cell r="M32">
            <v>2</v>
          </cell>
          <cell r="N32">
            <v>440.13087818555312</v>
          </cell>
          <cell r="O32">
            <v>4.0706189175490626E-2</v>
          </cell>
        </row>
        <row r="35">
          <cell r="E35">
            <v>2.3084459283426715E-3</v>
          </cell>
          <cell r="F35">
            <v>6.6168115946364887E-3</v>
          </cell>
          <cell r="G35">
            <v>1.4124309609182243E-5</v>
          </cell>
        </row>
        <row r="36">
          <cell r="E36">
            <v>8.3819987309747424E-3</v>
          </cell>
          <cell r="F36">
            <v>2.1318245012230778E-2</v>
          </cell>
          <cell r="G36">
            <v>2.1072123509646572E-5</v>
          </cell>
        </row>
        <row r="37">
          <cell r="E37">
            <v>1.6473918027598417E-2</v>
          </cell>
          <cell r="F37">
            <v>3.9995627830974871E-2</v>
          </cell>
          <cell r="G37">
            <v>3.8484404403528296E-5</v>
          </cell>
        </row>
        <row r="38">
          <cell r="E38">
            <v>2.4718158610383706E-2</v>
          </cell>
          <cell r="F38">
            <v>2.4581160282345516E-2</v>
          </cell>
          <cell r="G38">
            <v>5.6181638145550227E-5</v>
          </cell>
          <cell r="L38">
            <v>5.1744622120926613E-2</v>
          </cell>
        </row>
        <row r="39">
          <cell r="C39">
            <v>5.3668883254387734E-2</v>
          </cell>
          <cell r="E39">
            <v>3.293169673192823E-2</v>
          </cell>
          <cell r="F39">
            <v>4.1274884496331612E-2</v>
          </cell>
          <cell r="G39">
            <v>8.4619993581648337E-5</v>
          </cell>
        </row>
        <row r="40">
          <cell r="E40">
            <v>4.1291591040478165E-2</v>
          </cell>
          <cell r="F40">
            <v>2.5666886946453259E-2</v>
          </cell>
          <cell r="G40">
            <v>1.0909554379039712E-4</v>
          </cell>
        </row>
        <row r="41">
          <cell r="E41">
            <v>4.9620962700682912E-2</v>
          </cell>
          <cell r="F41">
            <v>4.1032905245788114E-2</v>
          </cell>
          <cell r="G41">
            <v>1.4553622863995577E-4</v>
          </cell>
        </row>
        <row r="42">
          <cell r="E42">
            <v>5.8096439558464399E-2</v>
          </cell>
          <cell r="F42">
            <v>2.4600643017354481E-2</v>
          </cell>
          <cell r="G42">
            <v>3.6704540679523356E-5</v>
          </cell>
        </row>
        <row r="43">
          <cell r="E43">
            <v>6.6555695037755408E-2</v>
          </cell>
          <cell r="F43">
            <v>4.036681114143556E-2</v>
          </cell>
          <cell r="G43">
            <v>1.953540484237676E-5</v>
          </cell>
        </row>
        <row r="44">
          <cell r="E44">
            <v>7.51501218625341E-2</v>
          </cell>
          <cell r="F44">
            <v>2.4199155815270556E-2</v>
          </cell>
          <cell r="G44">
            <v>3.6347198911461937E-5</v>
          </cell>
        </row>
        <row r="65">
          <cell r="K65">
            <v>4.0284509488226465</v>
          </cell>
          <cell r="L65">
            <v>3.0766246561287236</v>
          </cell>
          <cell r="M65">
            <v>2.5495610585938944</v>
          </cell>
        </row>
        <row r="66">
          <cell r="B66">
            <v>2.9724836572026359</v>
          </cell>
          <cell r="C66">
            <v>3.9204657795029028</v>
          </cell>
          <cell r="D66">
            <v>4.9823631009634912</v>
          </cell>
          <cell r="E66">
            <v>5.923469087923884</v>
          </cell>
          <cell r="F66">
            <v>6.6928539671262826</v>
          </cell>
          <cell r="G66">
            <v>6.6863739955496833</v>
          </cell>
          <cell r="H66">
            <v>6.3783913921078899</v>
          </cell>
          <cell r="I66">
            <v>5.892612973913697</v>
          </cell>
          <cell r="J66">
            <v>5.1605509962743685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10.654230512674076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0.5</v>
          </cell>
        </row>
        <row r="11">
          <cell r="D11">
            <v>98.77463814363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6">
        <row r="10">
          <cell r="U10">
            <v>0.5</v>
          </cell>
        </row>
        <row r="11">
          <cell r="D11">
            <v>185.50430684100138</v>
          </cell>
          <cell r="O11">
            <v>0.115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0.5</v>
          </cell>
        </row>
        <row r="11">
          <cell r="D11">
            <v>274.86827197253479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0.5</v>
          </cell>
        </row>
        <row r="11">
          <cell r="D11">
            <v>364.47232747548878</v>
          </cell>
          <cell r="O11">
            <v>0.1</v>
          </cell>
        </row>
        <row r="12">
          <cell r="L12">
            <v>0</v>
          </cell>
          <cell r="O12">
            <v>730</v>
          </cell>
        </row>
        <row r="379">
          <cell r="Q379">
            <v>0.5</v>
          </cell>
        </row>
      </sheetData>
      <sheetData sheetId="9">
        <row r="10">
          <cell r="U10">
            <v>0.5</v>
          </cell>
        </row>
        <row r="11">
          <cell r="D11">
            <v>456.57761385163576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133">
          <cell r="O133">
            <v>6.1249941231105838E-2</v>
          </cell>
        </row>
        <row r="379">
          <cell r="Q379">
            <v>0.5</v>
          </cell>
        </row>
      </sheetData>
      <sheetData sheetId="10">
        <row r="10">
          <cell r="U10">
            <v>0.5</v>
          </cell>
        </row>
        <row r="11">
          <cell r="D11">
            <v>536.5208174046893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1">
        <row r="10">
          <cell r="U10">
            <v>0.5</v>
          </cell>
        </row>
        <row r="11">
          <cell r="D11">
            <v>632.69029517714444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2">
        <row r="10">
          <cell r="U10">
            <v>0.5</v>
          </cell>
        </row>
        <row r="11">
          <cell r="D11">
            <v>707.35513939123484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3">
        <row r="10">
          <cell r="U10">
            <v>0.5</v>
          </cell>
        </row>
        <row r="11">
          <cell r="D11">
            <v>805.44553902198822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Labège maternell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43340</v>
          </cell>
        </row>
        <row r="11">
          <cell r="C11">
            <v>33.012472000524284</v>
          </cell>
          <cell r="D11">
            <v>14.510032535976114</v>
          </cell>
        </row>
        <row r="12">
          <cell r="C12">
            <v>575.07137572209467</v>
          </cell>
          <cell r="D12">
            <v>53.007798701651765</v>
          </cell>
        </row>
        <row r="13">
          <cell r="C13">
            <v>992.19515441245949</v>
          </cell>
          <cell r="D13">
            <v>16.873442787422082</v>
          </cell>
        </row>
        <row r="14">
          <cell r="C14">
            <v>617.85034858846996</v>
          </cell>
          <cell r="D14">
            <v>49.682596384895881</v>
          </cell>
          <cell r="H14">
            <v>644.28772157133847</v>
          </cell>
          <cell r="I14">
            <v>83.540651782642328</v>
          </cell>
          <cell r="K14">
            <v>44307</v>
          </cell>
        </row>
        <row r="15">
          <cell r="C15">
            <v>1046.2670328009367</v>
          </cell>
          <cell r="D15">
            <v>18.863807461834444</v>
          </cell>
          <cell r="H15">
            <v>495.28300504935737</v>
          </cell>
          <cell r="I15">
            <v>64.954744971390653</v>
          </cell>
          <cell r="K15" t="str">
            <v/>
          </cell>
        </row>
        <row r="16">
          <cell r="C16">
            <v>615.79049431461908</v>
          </cell>
          <cell r="D16">
            <v>47.63057141623127</v>
          </cell>
          <cell r="H16">
            <v>835.73535619422728</v>
          </cell>
          <cell r="I16">
            <v>76.039921496784757</v>
          </cell>
          <cell r="K16">
            <v>45046</v>
          </cell>
        </row>
        <row r="17">
          <cell r="C17">
            <v>907.51277474620213</v>
          </cell>
          <cell r="D17">
            <v>84.269543998491315</v>
          </cell>
          <cell r="H17">
            <v>630.56535204016348</v>
          </cell>
          <cell r="I17">
            <v>85.250292153599759</v>
          </cell>
        </row>
        <row r="18">
          <cell r="C18">
            <v>569.70989200693418</v>
          </cell>
          <cell r="D18">
            <v>133.45916819990259</v>
          </cell>
          <cell r="H18">
            <v>777.52182843251569</v>
          </cell>
          <cell r="I18">
            <v>92.555289894039362</v>
          </cell>
          <cell r="K18">
            <v>45777</v>
          </cell>
          <cell r="M18">
            <v>1501.1471570046031</v>
          </cell>
        </row>
        <row r="19">
          <cell r="C19">
            <v>876.37461362113959</v>
          </cell>
          <cell r="D19">
            <v>178.49677634753149</v>
          </cell>
          <cell r="H19">
            <v>549.27378888059502</v>
          </cell>
          <cell r="I19">
            <v>99.66277656399231</v>
          </cell>
        </row>
        <row r="20">
          <cell r="C20">
            <v>548.94234356141203</v>
          </cell>
          <cell r="D20">
            <v>242.07362039234965</v>
          </cell>
          <cell r="H20">
            <v>738.25206354144996</v>
          </cell>
          <cell r="I20">
            <v>98.539182759668847</v>
          </cell>
        </row>
        <row r="32">
          <cell r="M32">
            <v>2</v>
          </cell>
          <cell r="N32">
            <v>660.23657704840889</v>
          </cell>
          <cell r="O32">
            <v>7.3585424811004163E-2</v>
          </cell>
        </row>
        <row r="35">
          <cell r="E35">
            <v>1.6458224044681514E-3</v>
          </cell>
          <cell r="F35">
            <v>1.3078589487783501E-2</v>
          </cell>
          <cell r="G35">
            <v>5.6741248073261946E-3</v>
          </cell>
        </row>
        <row r="36">
          <cell r="E36">
            <v>7.6073903967093714E-3</v>
          </cell>
          <cell r="F36">
            <v>5.469328384139921E-2</v>
          </cell>
          <cell r="G36">
            <v>4.7780923933976498E-3</v>
          </cell>
        </row>
        <row r="37">
          <cell r="E37">
            <v>1.9897094110880215E-2</v>
          </cell>
          <cell r="F37">
            <v>9.9958663397224992E-2</v>
          </cell>
          <cell r="G37">
            <v>1.5426454339860583E-3</v>
          </cell>
        </row>
        <row r="38">
          <cell r="E38">
            <v>3.6751097312847009E-2</v>
          </cell>
          <cell r="F38">
            <v>6.1424257065985741E-2</v>
          </cell>
          <cell r="G38">
            <v>4.6435403792517167E-3</v>
          </cell>
          <cell r="L38">
            <v>9.5363472841258151E-2</v>
          </cell>
        </row>
        <row r="39">
          <cell r="C39">
            <v>0.12183848892664172</v>
          </cell>
          <cell r="E39">
            <v>5.0450141408478283E-2</v>
          </cell>
          <cell r="F39">
            <v>0.10814025260464089</v>
          </cell>
          <cell r="G39">
            <v>1.7508403757723176E-3</v>
          </cell>
        </row>
        <row r="40">
          <cell r="E40">
            <v>6.5993698099546666E-2</v>
          </cell>
          <cell r="F40">
            <v>6.1464328749039822E-2</v>
          </cell>
          <cell r="G40">
            <v>4.4618411955233877E-3</v>
          </cell>
        </row>
        <row r="41">
          <cell r="E41">
            <v>7.5218485551949849E-2</v>
          </cell>
          <cell r="F41">
            <v>9.4069372217246455E-2</v>
          </cell>
          <cell r="G41">
            <v>7.9327100544936569E-3</v>
          </cell>
        </row>
        <row r="42">
          <cell r="E42">
            <v>8.4685302997817208E-2</v>
          </cell>
          <cell r="F42">
            <v>5.7458241556336109E-2</v>
          </cell>
          <cell r="G42">
            <v>1.2670388925672887E-2</v>
          </cell>
        </row>
        <row r="43">
          <cell r="E43">
            <v>9.4078470917288395E-2</v>
          </cell>
          <cell r="F43">
            <v>9.2380560893711341E-2</v>
          </cell>
          <cell r="G43">
            <v>1.7088566352437457E-2</v>
          </cell>
        </row>
        <row r="44">
          <cell r="E44">
            <v>0.10369477763224516</v>
          </cell>
          <cell r="F44">
            <v>5.6351357936170035E-2</v>
          </cell>
          <cell r="G44">
            <v>2.3394889026229146E-2</v>
          </cell>
        </row>
        <row r="65">
          <cell r="K65">
            <v>2.8055254303951545</v>
          </cell>
          <cell r="L65">
            <v>1.9109236326236418</v>
          </cell>
          <cell r="M65">
            <v>1.5956184462332559</v>
          </cell>
        </row>
        <row r="66">
          <cell r="B66">
            <v>1.9693259492147186</v>
          </cell>
          <cell r="C66">
            <v>2.7669891922939223</v>
          </cell>
          <cell r="D66">
            <v>3.8661658176708156</v>
          </cell>
          <cell r="E66">
            <v>4.9788671139322647</v>
          </cell>
          <cell r="F66">
            <v>6.2308252995541515</v>
          </cell>
          <cell r="G66">
            <v>6.250164322940174</v>
          </cell>
          <cell r="H66">
            <v>5.9010201391945856</v>
          </cell>
          <cell r="I66">
            <v>5.2533506630855822</v>
          </cell>
          <cell r="J66">
            <v>4.1831615163975533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1.7999999999999999E-2</v>
          </cell>
        </row>
      </sheetData>
      <sheetData sheetId="4">
        <row r="10">
          <cell r="U10">
            <v>0.6</v>
          </cell>
        </row>
        <row r="11">
          <cell r="D11">
            <v>4.1474955007734025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0.8</v>
          </cell>
        </row>
      </sheetData>
      <sheetData sheetId="5">
        <row r="10">
          <cell r="U10">
            <v>0.6</v>
          </cell>
        </row>
        <row r="11">
          <cell r="D11">
            <v>79.38384149174999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0.8</v>
          </cell>
        </row>
      </sheetData>
      <sheetData sheetId="6">
        <row r="10">
          <cell r="U10">
            <v>0.6</v>
          </cell>
        </row>
        <row r="11">
          <cell r="D11">
            <v>193.6466379014837</v>
          </cell>
          <cell r="O11">
            <v>0.17</v>
          </cell>
        </row>
        <row r="12">
          <cell r="L12">
            <v>1.1111111111111112E-2</v>
          </cell>
          <cell r="O12">
            <v>912.5</v>
          </cell>
        </row>
        <row r="379">
          <cell r="Q379">
            <v>0.8</v>
          </cell>
        </row>
      </sheetData>
      <sheetData sheetId="7">
        <row r="10">
          <cell r="U10">
            <v>0.60000000000000009</v>
          </cell>
        </row>
        <row r="11">
          <cell r="D11">
            <v>356.56539381578477</v>
          </cell>
          <cell r="O11">
            <v>0.2</v>
          </cell>
        </row>
        <row r="12">
          <cell r="L12">
            <v>1.1111111111111112E-2</v>
          </cell>
          <cell r="O12">
            <v>730</v>
          </cell>
        </row>
        <row r="379">
          <cell r="Q379">
            <v>0.8</v>
          </cell>
        </row>
      </sheetData>
      <sheetData sheetId="8">
        <row r="10">
          <cell r="U10">
            <v>0.60000000000000009</v>
          </cell>
        </row>
        <row r="11">
          <cell r="D11">
            <v>464.66729413232497</v>
          </cell>
          <cell r="O11">
            <v>0.17</v>
          </cell>
        </row>
        <row r="12">
          <cell r="L12">
            <v>2.1111111111111112E-2</v>
          </cell>
          <cell r="O12">
            <v>510.99999999999994</v>
          </cell>
        </row>
        <row r="379">
          <cell r="Q379">
            <v>0.8</v>
          </cell>
        </row>
      </sheetData>
      <sheetData sheetId="9">
        <row r="10">
          <cell r="U10">
            <v>0.6</v>
          </cell>
        </row>
        <row r="11">
          <cell r="D11">
            <v>620.236993750068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133">
          <cell r="O133">
            <v>0.13317606880789065</v>
          </cell>
        </row>
        <row r="379">
          <cell r="Q379">
            <v>0.8</v>
          </cell>
        </row>
      </sheetData>
      <sheetData sheetId="10">
        <row r="10">
          <cell r="U10">
            <v>0.60000000000000009</v>
          </cell>
        </row>
        <row r="11">
          <cell r="D11">
            <v>674.88902264457647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1">
        <row r="10">
          <cell r="U10">
            <v>0.60000000000000009</v>
          </cell>
        </row>
        <row r="11">
          <cell r="D11">
            <v>774.11542190649925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2">
        <row r="10">
          <cell r="U10">
            <v>0.60000000000000009</v>
          </cell>
        </row>
        <row r="11">
          <cell r="D11">
            <v>815.73852226313284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3">
        <row r="10">
          <cell r="U10">
            <v>0.60000000000000009</v>
          </cell>
        </row>
        <row r="11">
          <cell r="D11">
            <v>915.22999124804301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Escalquens crêch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43354</v>
          </cell>
        </row>
        <row r="11">
          <cell r="C11">
            <v>24.420032290291541</v>
          </cell>
          <cell r="D11">
            <v>0.29159888076333462</v>
          </cell>
        </row>
        <row r="12">
          <cell r="C12">
            <v>601.13820574501779</v>
          </cell>
          <cell r="D12">
            <v>1.617449027860302</v>
          </cell>
        </row>
        <row r="13">
          <cell r="C13">
            <v>1052.335449772987</v>
          </cell>
          <cell r="D13">
            <v>2.7814559108141137</v>
          </cell>
        </row>
        <row r="14">
          <cell r="C14">
            <v>618.6689035315336</v>
          </cell>
          <cell r="D14">
            <v>4.2146380529732044</v>
          </cell>
          <cell r="H14">
            <v>715.47833690747836</v>
          </cell>
          <cell r="I14">
            <v>-0.29237109502494407</v>
          </cell>
          <cell r="K14">
            <v>44306</v>
          </cell>
        </row>
        <row r="15">
          <cell r="C15">
            <v>983.35663543557212</v>
          </cell>
          <cell r="D15">
            <v>5.7501134260136242</v>
          </cell>
          <cell r="H15">
            <v>691.52360911592677</v>
          </cell>
          <cell r="I15">
            <v>-0.38478662776655437</v>
          </cell>
          <cell r="K15" t="str">
            <v/>
          </cell>
        </row>
        <row r="16">
          <cell r="C16">
            <v>599.58224703228234</v>
          </cell>
          <cell r="D16">
            <v>7.6450184060102231</v>
          </cell>
          <cell r="H16">
            <v>864.55362769350791</v>
          </cell>
          <cell r="I16">
            <v>-0.62176155184746484</v>
          </cell>
          <cell r="K16">
            <v>45046</v>
          </cell>
        </row>
        <row r="17">
          <cell r="C17">
            <v>480.84631753199074</v>
          </cell>
          <cell r="D17">
            <v>9.6611171668562559</v>
          </cell>
          <cell r="H17">
            <v>613.45887176841666</v>
          </cell>
          <cell r="I17">
            <v>-0.55604473659403908</v>
          </cell>
        </row>
        <row r="18">
          <cell r="C18">
            <v>475.19959970857417</v>
          </cell>
          <cell r="D18">
            <v>3.5589293216464375</v>
          </cell>
          <cell r="H18">
            <v>529.38040181678389</v>
          </cell>
          <cell r="I18">
            <v>7.709539765639815</v>
          </cell>
          <cell r="K18">
            <v>45777</v>
          </cell>
          <cell r="M18">
            <v>532.52832716255739</v>
          </cell>
        </row>
        <row r="19">
          <cell r="C19">
            <v>471.40426745236743</v>
          </cell>
          <cell r="D19">
            <v>1.5525019299485625</v>
          </cell>
          <cell r="H19">
            <v>524.32628681368112</v>
          </cell>
          <cell r="I19">
            <v>11.871435302886017</v>
          </cell>
        </row>
        <row r="20">
          <cell r="C20">
            <v>467.32245157688379</v>
          </cell>
          <cell r="D20">
            <v>2.7636469527172043</v>
          </cell>
          <cell r="H20">
            <v>519.65466103471067</v>
          </cell>
          <cell r="I20">
            <v>13.185157978471418</v>
          </cell>
        </row>
        <row r="32">
          <cell r="M32">
            <v>1</v>
          </cell>
          <cell r="N32">
            <v>506.67295243287674</v>
          </cell>
          <cell r="O32">
            <v>5.0013214732891137E-2</v>
          </cell>
        </row>
        <row r="35">
          <cell r="E35">
            <v>2.2574174806909626E-3</v>
          </cell>
          <cell r="F35">
            <v>1.7658570172236029E-2</v>
          </cell>
          <cell r="G35">
            <v>2.0719346269517224E-4</v>
          </cell>
        </row>
        <row r="36">
          <cell r="E36">
            <v>7.6340505023062251E-3</v>
          </cell>
          <cell r="F36">
            <v>5.4861483830057303E-2</v>
          </cell>
          <cell r="G36">
            <v>1.3988011857535033E-4</v>
          </cell>
        </row>
        <row r="37">
          <cell r="E37">
            <v>1.6222190251212267E-2</v>
          </cell>
          <cell r="F37">
            <v>0.10048154472285574</v>
          </cell>
          <cell r="G37">
            <v>2.4097873419266335E-4</v>
          </cell>
        </row>
        <row r="38">
          <cell r="E38">
            <v>2.4984557883716511E-2</v>
          </cell>
          <cell r="F38">
            <v>5.8568994388270339E-2</v>
          </cell>
          <cell r="G38">
            <v>3.7640090516053489E-4</v>
          </cell>
          <cell r="L38">
            <v>9.5265982743073477E-2</v>
          </cell>
        </row>
        <row r="39">
          <cell r="C39">
            <v>0.10212546462124136</v>
          </cell>
          <cell r="E39">
            <v>3.3332076055731241E-2</v>
          </cell>
          <cell r="F39">
            <v>9.150835972314636E-2</v>
          </cell>
          <cell r="G39">
            <v>4.8886297070358637E-4</v>
          </cell>
        </row>
        <row r="40">
          <cell r="E40">
            <v>4.2617042350931264E-2</v>
          </cell>
          <cell r="F40">
            <v>5.4111801315013634E-2</v>
          </cell>
          <cell r="G40">
            <v>6.5310952202345238E-4</v>
          </cell>
        </row>
        <row r="41">
          <cell r="E41">
            <v>5.1487590905777189E-2</v>
          </cell>
          <cell r="F41">
            <v>4.2892162259622051E-2</v>
          </cell>
          <cell r="G41">
            <v>8.2459539984178166E-4</v>
          </cell>
        </row>
        <row r="42">
          <cell r="E42">
            <v>6.0477985441720158E-2</v>
          </cell>
          <cell r="F42">
            <v>4.2398891408130336E-2</v>
          </cell>
          <cell r="G42">
            <v>3.0387631234235485E-4</v>
          </cell>
        </row>
        <row r="43">
          <cell r="E43">
            <v>6.9522829239701017E-2</v>
          </cell>
          <cell r="F43">
            <v>4.2048333591486901E-2</v>
          </cell>
          <cell r="G43">
            <v>1.3252045511180321E-4</v>
          </cell>
        </row>
        <row r="44">
          <cell r="E44">
            <v>7.8646155826191042E-2</v>
          </cell>
          <cell r="F44">
            <v>4.1691242760504482E-2</v>
          </cell>
          <cell r="G44">
            <v>2.3594288946414524E-4</v>
          </cell>
        </row>
        <row r="65">
          <cell r="K65">
            <v>3.2992679094897639</v>
          </cell>
          <cell r="L65">
            <v>2.3108184040330242</v>
          </cell>
          <cell r="M65">
            <v>1.8641624189385739</v>
          </cell>
        </row>
        <row r="66">
          <cell r="B66">
            <v>2.1640662548622478</v>
          </cell>
          <cell r="C66">
            <v>3.0349251305785767</v>
          </cell>
          <cell r="D66">
            <v>4.2233426959218461</v>
          </cell>
          <cell r="E66">
            <v>5.4116298001518039</v>
          </cell>
          <cell r="F66">
            <v>6.5837616857892094</v>
          </cell>
          <cell r="G66">
            <v>6.6349355777214116</v>
          </cell>
          <cell r="H66">
            <v>6.3644414240358724</v>
          </cell>
          <cell r="I66">
            <v>5.7437053380743546</v>
          </cell>
          <cell r="J66">
            <v>4.7180758108455034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1.7999999999999999E-2</v>
          </cell>
        </row>
      </sheetData>
      <sheetData sheetId="4">
        <row r="10">
          <cell r="U10">
            <v>0.40000000000000013</v>
          </cell>
        </row>
        <row r="11">
          <cell r="D11">
            <v>3.1147507785951802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5">
        <row r="10">
          <cell r="U10">
            <v>0.40000000000000013</v>
          </cell>
        </row>
        <row r="11">
          <cell r="D11">
            <v>83.01545922456171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6">
        <row r="10">
          <cell r="U10">
            <v>0.40000000000000013</v>
          </cell>
        </row>
        <row r="11">
          <cell r="D11">
            <v>167.18169118171863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7">
        <row r="10">
          <cell r="U10">
            <v>0.40000000000000013</v>
          </cell>
        </row>
        <row r="11">
          <cell r="D11">
            <v>257.48080975731318</v>
          </cell>
          <cell r="O11">
            <v>0.2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8">
        <row r="10">
          <cell r="U10">
            <v>0.40000000000000013</v>
          </cell>
        </row>
        <row r="11">
          <cell r="D11">
            <v>346.63525833777385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9">
        <row r="10">
          <cell r="U10">
            <v>0.40000000000000008</v>
          </cell>
        </row>
        <row r="11">
          <cell r="D11">
            <v>452.91349456853095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133">
          <cell r="O133">
            <v>0.11276994136905134</v>
          </cell>
        </row>
        <row r="379">
          <cell r="Q379">
            <v>0.7</v>
          </cell>
        </row>
      </sheetData>
      <sheetData sheetId="10">
        <row r="10">
          <cell r="U10">
            <v>0.39999999999999991</v>
          </cell>
        </row>
        <row r="11">
          <cell r="D11">
            <v>548.94239679578095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1">
        <row r="10">
          <cell r="U10">
            <v>0.39999999999999991</v>
          </cell>
        </row>
        <row r="11">
          <cell r="D11">
            <v>639.17123731438187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2">
        <row r="10">
          <cell r="U10">
            <v>0.4</v>
          </cell>
        </row>
        <row r="11">
          <cell r="D11">
            <v>728.75592547284759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3">
        <row r="10">
          <cell r="U10">
            <v>0.4</v>
          </cell>
        </row>
        <row r="11">
          <cell r="D11">
            <v>817.27893381289505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yguesvives crêche v4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43354</v>
          </cell>
        </row>
        <row r="11">
          <cell r="C11">
            <v>30.552063883907749</v>
          </cell>
          <cell r="D11">
            <v>4.7353371617019926</v>
          </cell>
        </row>
        <row r="12">
          <cell r="C12">
            <v>767.13225606728577</v>
          </cell>
          <cell r="D12">
            <v>20.962438019564079</v>
          </cell>
        </row>
        <row r="13">
          <cell r="C13">
            <v>1278.2745582991847</v>
          </cell>
          <cell r="D13">
            <v>42.716885176540714</v>
          </cell>
        </row>
        <row r="14">
          <cell r="C14">
            <v>877.12569765304715</v>
          </cell>
          <cell r="D14">
            <v>70.870907418280993</v>
          </cell>
          <cell r="H14">
            <v>635.44106915727116</v>
          </cell>
          <cell r="I14">
            <v>-4.5560801234965567</v>
          </cell>
          <cell r="K14">
            <v>44306</v>
          </cell>
        </row>
        <row r="15">
          <cell r="C15">
            <v>1409.4394233069897</v>
          </cell>
          <cell r="D15">
            <v>110.83408688654788</v>
          </cell>
          <cell r="H15">
            <v>374.03532286829932</v>
          </cell>
          <cell r="I15">
            <v>-4.291747278890341</v>
          </cell>
          <cell r="K15">
            <v>44854</v>
          </cell>
        </row>
        <row r="16">
          <cell r="C16">
            <v>573.42235007598697</v>
          </cell>
          <cell r="D16">
            <v>156.5333157990847</v>
          </cell>
          <cell r="H16">
            <v>544.9251407068075</v>
          </cell>
          <cell r="I16">
            <v>-8.235418110492418</v>
          </cell>
          <cell r="K16">
            <v>45046</v>
          </cell>
        </row>
        <row r="17">
          <cell r="C17">
            <v>671.26324195215989</v>
          </cell>
          <cell r="D17">
            <v>204.34874194320091</v>
          </cell>
          <cell r="H17">
            <v>599.78020227336037</v>
          </cell>
          <cell r="I17">
            <v>-12.12632639154802</v>
          </cell>
          <cell r="K17">
            <v>45412</v>
          </cell>
          <cell r="M17">
            <v>330.08098400708894</v>
          </cell>
        </row>
        <row r="18">
          <cell r="C18">
            <v>676.60211684299975</v>
          </cell>
          <cell r="D18">
            <v>86.796744593305903</v>
          </cell>
          <cell r="H18">
            <v>636.66240872103094</v>
          </cell>
          <cell r="I18">
            <v>160.29433461185278</v>
          </cell>
        </row>
        <row r="19">
          <cell r="C19">
            <v>680.83915922456083</v>
          </cell>
          <cell r="D19">
            <v>21.309460079939232</v>
          </cell>
          <cell r="H19">
            <v>617.77226155945425</v>
          </cell>
          <cell r="I19">
            <v>284.96604432968928</v>
          </cell>
        </row>
        <row r="20">
          <cell r="C20">
            <v>672.36578832112446</v>
          </cell>
          <cell r="D20">
            <v>42.200234656626883</v>
          </cell>
          <cell r="H20">
            <v>604.58837856416812</v>
          </cell>
          <cell r="I20">
            <v>323.71355879971907</v>
          </cell>
        </row>
        <row r="32">
          <cell r="M32">
            <v>1</v>
          </cell>
          <cell r="N32">
            <v>579.82513765409738</v>
          </cell>
          <cell r="O32">
            <v>6.025987791317549E-2</v>
          </cell>
        </row>
        <row r="35">
          <cell r="E35">
            <v>2.2617185136911489E-3</v>
          </cell>
          <cell r="F35">
            <v>2.2338239950172905E-2</v>
          </cell>
          <cell r="G35">
            <v>3.3864388474925816E-3</v>
          </cell>
        </row>
        <row r="36">
          <cell r="E36">
            <v>7.610457035857404E-3</v>
          </cell>
          <cell r="F36">
            <v>7.0713003173555944E-2</v>
          </cell>
          <cell r="G36">
            <v>1.8037632055679191E-3</v>
          </cell>
        </row>
        <row r="37">
          <cell r="E37">
            <v>1.6190377660076076E-2</v>
          </cell>
          <cell r="F37">
            <v>0.12771989740558692</v>
          </cell>
          <cell r="G37">
            <v>3.7777841407905031E-3</v>
          </cell>
        </row>
        <row r="38">
          <cell r="E38">
            <v>2.4963679292763781E-2</v>
          </cell>
          <cell r="F38">
            <v>8.6628355225119927E-2</v>
          </cell>
          <cell r="G38">
            <v>6.4286789525572511E-3</v>
          </cell>
          <cell r="L38">
            <v>0.10287433262255685</v>
          </cell>
        </row>
        <row r="39">
          <cell r="C39">
            <v>3.9843868227822786E-2</v>
          </cell>
          <cell r="E39">
            <v>3.3335860331915448E-2</v>
          </cell>
          <cell r="F39">
            <v>0.13972581590977767</v>
          </cell>
          <cell r="G39">
            <v>9.6013416817634055E-3</v>
          </cell>
        </row>
        <row r="40">
          <cell r="E40">
            <v>4.2528889902709525E-2</v>
          </cell>
          <cell r="F40">
            <v>5.305324348880603E-2</v>
          </cell>
          <cell r="G40">
            <v>1.3723479727137253E-2</v>
          </cell>
        </row>
        <row r="41">
          <cell r="E41">
            <v>5.1448613770095429E-2</v>
          </cell>
          <cell r="F41">
            <v>6.3190917952528514E-2</v>
          </cell>
          <cell r="G41">
            <v>1.8038338172963873E-2</v>
          </cell>
        </row>
        <row r="42">
          <cell r="E42">
            <v>6.0508272032358375E-2</v>
          </cell>
          <cell r="F42">
            <v>6.2637310636263668E-2</v>
          </cell>
          <cell r="G42">
            <v>7.534802931516398E-3</v>
          </cell>
        </row>
        <row r="43">
          <cell r="E43">
            <v>6.9507410723243582E-2</v>
          </cell>
          <cell r="F43">
            <v>6.2400559918874256E-2</v>
          </cell>
          <cell r="G43">
            <v>1.8308750076622413E-3</v>
          </cell>
        </row>
        <row r="44">
          <cell r="E44">
            <v>7.8627156335985132E-2</v>
          </cell>
          <cell r="F44">
            <v>6.1821438902046728E-2</v>
          </cell>
          <cell r="G44">
            <v>3.6375861360454669E-3</v>
          </cell>
        </row>
        <row r="65">
          <cell r="K65">
            <v>3.079205705209795</v>
          </cell>
          <cell r="L65">
            <v>2.206865027402273</v>
          </cell>
          <cell r="M65">
            <v>1.6737668030689588</v>
          </cell>
        </row>
        <row r="66">
          <cell r="B66">
            <v>2.0560177829521002</v>
          </cell>
          <cell r="C66">
            <v>3.0876849432255482</v>
          </cell>
          <cell r="D66">
            <v>4.4499727349856686</v>
          </cell>
          <cell r="E66">
            <v>5.7102032925514168</v>
          </cell>
          <cell r="F66">
            <v>6.5924048345790736</v>
          </cell>
          <cell r="G66">
            <v>6.6234421799249459</v>
          </cell>
          <cell r="H66">
            <v>6.3009796636959825</v>
          </cell>
          <cell r="I66">
            <v>5.6503923683250328</v>
          </cell>
          <cell r="J66">
            <v>4.563638572145992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2.5000000000000001E-2</v>
          </cell>
        </row>
      </sheetData>
      <sheetData sheetId="4">
        <row r="10">
          <cell r="U10">
            <v>0.70000000000000018</v>
          </cell>
        </row>
        <row r="11">
          <cell r="D11">
            <v>3.0863772712791615</v>
          </cell>
          <cell r="O11">
            <v>0.21</v>
          </cell>
        </row>
        <row r="12">
          <cell r="L12">
            <v>0</v>
          </cell>
          <cell r="O12">
            <v>912.5</v>
          </cell>
        </row>
        <row r="379">
          <cell r="Q379">
            <v>1</v>
          </cell>
        </row>
      </sheetData>
      <sheetData sheetId="5">
        <row r="10">
          <cell r="U10">
            <v>0.70000000000000018</v>
          </cell>
        </row>
        <row r="11">
          <cell r="D11">
            <v>81.938693449063067</v>
          </cell>
          <cell r="O11">
            <v>0.21</v>
          </cell>
        </row>
        <row r="12">
          <cell r="L12">
            <v>0</v>
          </cell>
          <cell r="O12">
            <v>912.5</v>
          </cell>
        </row>
        <row r="379">
          <cell r="Q379">
            <v>1</v>
          </cell>
        </row>
      </sheetData>
      <sheetData sheetId="6">
        <row r="10">
          <cell r="U10">
            <v>0.70000000000000018</v>
          </cell>
        </row>
        <row r="11">
          <cell r="D11">
            <v>159.45843053011595</v>
          </cell>
          <cell r="O11">
            <v>0.14000000000000001</v>
          </cell>
        </row>
        <row r="12">
          <cell r="L12">
            <v>0</v>
          </cell>
          <cell r="O12">
            <v>365</v>
          </cell>
        </row>
        <row r="379">
          <cell r="Q379">
            <v>1</v>
          </cell>
        </row>
      </sheetData>
      <sheetData sheetId="7">
        <row r="10">
          <cell r="U10">
            <v>0.70000000000000018</v>
          </cell>
        </row>
        <row r="11">
          <cell r="D11">
            <v>246.60500400489036</v>
          </cell>
          <cell r="O11">
            <v>0.16</v>
          </cell>
        </row>
        <row r="12">
          <cell r="L12">
            <v>0</v>
          </cell>
          <cell r="O12">
            <v>292</v>
          </cell>
        </row>
        <row r="379">
          <cell r="Q379">
            <v>1</v>
          </cell>
        </row>
      </sheetData>
      <sheetData sheetId="8">
        <row r="10">
          <cell r="U10">
            <v>0.70000000000000018</v>
          </cell>
        </row>
        <row r="11">
          <cell r="D11">
            <v>325.41676796126012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1</v>
          </cell>
        </row>
      </sheetData>
      <sheetData sheetId="9">
        <row r="10">
          <cell r="U10">
            <v>0.70000000000000029</v>
          </cell>
        </row>
        <row r="11">
          <cell r="D11">
            <v>440.91880744917398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133">
          <cell r="O133">
            <v>6.3133338722171847E-2</v>
          </cell>
        </row>
        <row r="379">
          <cell r="Q379">
            <v>1</v>
          </cell>
        </row>
      </sheetData>
      <sheetData sheetId="10">
        <row r="10">
          <cell r="U10">
            <v>0.69999999999999973</v>
          </cell>
        </row>
        <row r="11">
          <cell r="D11">
            <v>519.78510084310619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1">
        <row r="10">
          <cell r="U10">
            <v>0.69999999999999973</v>
          </cell>
        </row>
        <row r="11">
          <cell r="D11">
            <v>616.3124483316551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2">
        <row r="10">
          <cell r="U10">
            <v>0.7</v>
          </cell>
        </row>
        <row r="11">
          <cell r="D11">
            <v>709.09325199536761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3">
        <row r="10">
          <cell r="U10">
            <v>0.7</v>
          </cell>
        </row>
        <row r="11">
          <cell r="D11">
            <v>792.8074399815705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Noueilles SdF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43475</v>
          </cell>
        </row>
        <row r="5">
          <cell r="C5">
            <v>43522</v>
          </cell>
        </row>
        <row r="11">
          <cell r="C11">
            <v>129.71298858848573</v>
          </cell>
          <cell r="D11">
            <v>3.2119337313975511</v>
          </cell>
        </row>
        <row r="12">
          <cell r="C12">
            <v>366.89761327029095</v>
          </cell>
          <cell r="D12">
            <v>13.216261839278481</v>
          </cell>
        </row>
        <row r="13">
          <cell r="C13">
            <v>521.02846258409818</v>
          </cell>
          <cell r="D13">
            <v>21.123916244870063</v>
          </cell>
          <cell r="K13" t="str">
            <v/>
          </cell>
        </row>
        <row r="14">
          <cell r="C14">
            <v>354.46051124708316</v>
          </cell>
          <cell r="D14">
            <v>38.290188669361342</v>
          </cell>
          <cell r="H14">
            <v>633.22426340792936</v>
          </cell>
          <cell r="I14">
            <v>0.17860601135433996</v>
          </cell>
          <cell r="K14">
            <v>44683</v>
          </cell>
        </row>
        <row r="15">
          <cell r="C15">
            <v>216.22881522416878</v>
          </cell>
          <cell r="D15">
            <v>52.638737565104414</v>
          </cell>
          <cell r="H15">
            <v>317.61105789473424</v>
          </cell>
          <cell r="I15">
            <v>1.0794078340521125</v>
          </cell>
          <cell r="K15">
            <v>45046</v>
          </cell>
        </row>
        <row r="16">
          <cell r="C16">
            <v>251.01743772073755</v>
          </cell>
          <cell r="D16">
            <v>70.000257042600069</v>
          </cell>
          <cell r="H16">
            <v>284.06857308742724</v>
          </cell>
          <cell r="I16">
            <v>1.5217471177519855</v>
          </cell>
          <cell r="K16">
            <v>45412</v>
          </cell>
          <cell r="M16">
            <v>178.9047618215028</v>
          </cell>
        </row>
        <row r="17">
          <cell r="C17">
            <v>247.36703936425531</v>
          </cell>
          <cell r="D17">
            <v>90.699107969759751</v>
          </cell>
          <cell r="H17">
            <v>308.58281519824573</v>
          </cell>
          <cell r="I17">
            <v>1.1524131941895632</v>
          </cell>
        </row>
        <row r="18">
          <cell r="C18">
            <v>247.69067386420994</v>
          </cell>
          <cell r="D18">
            <v>35.398077459598447</v>
          </cell>
          <cell r="H18">
            <v>304.64264824732578</v>
          </cell>
          <cell r="I18">
            <v>76.469626395990872</v>
          </cell>
        </row>
        <row r="19">
          <cell r="C19">
            <v>247.25512634792744</v>
          </cell>
          <cell r="D19">
            <v>13.779385025839598</v>
          </cell>
          <cell r="H19">
            <v>300.70143866110789</v>
          </cell>
          <cell r="I19">
            <v>123.36777436367076</v>
          </cell>
        </row>
        <row r="20">
          <cell r="H20">
            <v>297.76533882464173</v>
          </cell>
        </row>
        <row r="32">
          <cell r="M32">
            <v>1</v>
          </cell>
          <cell r="N32">
            <v>299.09266016274648</v>
          </cell>
          <cell r="O32">
            <v>2.7005794284764847E-2</v>
          </cell>
        </row>
        <row r="35">
          <cell r="E35">
            <v>3.5596165102353854E-3</v>
          </cell>
          <cell r="F35">
            <v>1.2866445097281678E-2</v>
          </cell>
          <cell r="G35">
            <v>3.1453563875371454E-4</v>
          </cell>
        </row>
        <row r="36">
          <cell r="E36">
            <v>1.0208704922166845E-2</v>
          </cell>
          <cell r="F36">
            <v>3.2107379766274258E-2</v>
          </cell>
          <cell r="G36">
            <v>1.1202264653585653E-3</v>
          </cell>
        </row>
        <row r="37">
          <cell r="E37">
            <v>1.7346618992825434E-2</v>
          </cell>
          <cell r="F37">
            <v>4.7782205151160759E-2</v>
          </cell>
          <cell r="G37">
            <v>1.8474161716085652E-3</v>
          </cell>
        </row>
        <row r="38">
          <cell r="C38">
            <v>1.9550196931185999E-2</v>
          </cell>
          <cell r="E38">
            <v>2.3948552408587873E-2</v>
          </cell>
          <cell r="F38">
            <v>3.0156458155402827E-2</v>
          </cell>
          <cell r="G38">
            <v>3.1600389036704536E-3</v>
          </cell>
          <cell r="L38">
            <v>7.8261019105572857E-2</v>
          </cell>
        </row>
        <row r="39">
          <cell r="E39">
            <v>3.1746528911026556E-2</v>
          </cell>
          <cell r="F39">
            <v>1.8365535951656645E-2</v>
          </cell>
          <cell r="G39">
            <v>4.3877637458451905E-3</v>
          </cell>
        </row>
        <row r="40">
          <cell r="E40">
            <v>3.8999461132686257E-2</v>
          </cell>
          <cell r="F40">
            <v>2.141288825836727E-2</v>
          </cell>
          <cell r="G40">
            <v>5.8413702231781255E-3</v>
          </cell>
        </row>
        <row r="41">
          <cell r="E41">
            <v>4.6305194929259698E-2</v>
          </cell>
          <cell r="F41">
            <v>2.1194949371448335E-2</v>
          </cell>
          <cell r="G41">
            <v>7.602697736828026E-3</v>
          </cell>
        </row>
        <row r="42">
          <cell r="E42">
            <v>5.3671808051211363E-2</v>
          </cell>
          <cell r="F42">
            <v>2.1062839958241795E-2</v>
          </cell>
          <cell r="G42">
            <v>2.9447871520318037E-3</v>
          </cell>
        </row>
        <row r="43">
          <cell r="E43">
            <v>6.1054112053753315E-2</v>
          </cell>
          <cell r="F43">
            <v>2.0957141962735668E-2</v>
          </cell>
          <cell r="G43">
            <v>1.1425234789541219E-3</v>
          </cell>
        </row>
        <row r="64">
          <cell r="K64">
            <v>4.2704733589600341</v>
          </cell>
          <cell r="L64">
            <v>3.3363486982918151</v>
          </cell>
          <cell r="M64">
            <v>2.7205153444219055</v>
          </cell>
        </row>
        <row r="65">
          <cell r="B65">
            <v>3.1663208814112349</v>
          </cell>
          <cell r="C65">
            <v>4.2272369645651837</v>
          </cell>
          <cell r="D65">
            <v>5.3371840763009297</v>
          </cell>
          <cell r="E65">
            <v>6.1513553543739503</v>
          </cell>
          <cell r="F65">
            <v>6.5734415922569092</v>
          </cell>
          <cell r="G65">
            <v>6.544236726682656</v>
          </cell>
          <cell r="H65">
            <v>6.2253293270102112</v>
          </cell>
          <cell r="I65">
            <v>5.7472392460558126</v>
          </cell>
          <cell r="J65">
            <v>5.1118308569664341</v>
          </cell>
        </row>
      </sheetData>
      <sheetData sheetId="1"/>
      <sheetData sheetId="2"/>
      <sheetData sheetId="3">
        <row r="1">
          <cell r="Q1">
            <v>7.0000000000000001E-3</v>
          </cell>
        </row>
      </sheetData>
      <sheetData sheetId="4">
        <row r="10">
          <cell r="U10">
            <v>0.4</v>
          </cell>
        </row>
        <row r="11">
          <cell r="D11">
            <v>35.758964163449491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0.4</v>
          </cell>
        </row>
        <row r="11">
          <cell r="D11">
            <v>115.47808310310756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0.4</v>
          </cell>
        </row>
        <row r="11">
          <cell r="D11">
            <v>185.92643981699075</v>
          </cell>
          <cell r="O11">
            <v>0.14000000000000001</v>
          </cell>
        </row>
        <row r="12">
          <cell r="L12">
            <v>0</v>
          </cell>
          <cell r="O12">
            <v>365</v>
          </cell>
        </row>
        <row r="379">
          <cell r="Q379">
            <v>0.7</v>
          </cell>
        </row>
      </sheetData>
      <sheetData sheetId="7">
        <row r="10">
          <cell r="U10">
            <v>0.4</v>
          </cell>
        </row>
        <row r="11">
          <cell r="D11">
            <v>274.90880984406976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8">
        <row r="10">
          <cell r="U10">
            <v>0.39999999999999997</v>
          </cell>
        </row>
        <row r="11">
          <cell r="D11">
            <v>362.27068568857248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133">
          <cell r="O133">
            <v>2.4995833673155981E-2</v>
          </cell>
        </row>
        <row r="379">
          <cell r="Q379">
            <v>0.7</v>
          </cell>
        </row>
      </sheetData>
      <sheetData sheetId="9">
        <row r="10">
          <cell r="U10">
            <v>0.39999999999999991</v>
          </cell>
        </row>
        <row r="11">
          <cell r="D11">
            <v>440.01950230376497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0">
        <row r="10">
          <cell r="U10">
            <v>0.40000000000000013</v>
          </cell>
        </row>
        <row r="11">
          <cell r="D11">
            <v>516.51243652059384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1">
        <row r="10">
          <cell r="U10">
            <v>0.40000000000000013</v>
          </cell>
        </row>
        <row r="11">
          <cell r="D11">
            <v>599.00933738052845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2">
        <row r="10">
          <cell r="U10">
            <v>0.4</v>
          </cell>
        </row>
        <row r="11">
          <cell r="D11">
            <v>678.87628202181986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3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Escalquens MdS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43481</v>
          </cell>
        </row>
        <row r="5">
          <cell r="C5">
            <v>43476</v>
          </cell>
        </row>
        <row r="11">
          <cell r="C11">
            <v>160.22566753486308</v>
          </cell>
          <cell r="D11">
            <v>0.60385858000374271</v>
          </cell>
        </row>
        <row r="12">
          <cell r="C12">
            <v>461.22295909605776</v>
          </cell>
          <cell r="D12">
            <v>2.2236812290549581</v>
          </cell>
        </row>
        <row r="13">
          <cell r="C13">
            <v>744.45236324571476</v>
          </cell>
          <cell r="D13">
            <v>4.0582267976677597</v>
          </cell>
          <cell r="K13" t="str">
            <v/>
          </cell>
        </row>
        <row r="14">
          <cell r="C14">
            <v>413.32843494688854</v>
          </cell>
          <cell r="D14">
            <v>7.0965647444791342</v>
          </cell>
          <cell r="H14">
            <v>610.82984145338833</v>
          </cell>
          <cell r="I14">
            <v>-0.37798961774554662</v>
          </cell>
          <cell r="K14">
            <v>44683</v>
          </cell>
        </row>
        <row r="15">
          <cell r="C15">
            <v>127.56465016556164</v>
          </cell>
          <cell r="D15">
            <v>6.0233851580305577</v>
          </cell>
          <cell r="H15">
            <v>174.46543551809623</v>
          </cell>
          <cell r="I15">
            <v>-0.20407358942010134</v>
          </cell>
          <cell r="K15">
            <v>45046</v>
          </cell>
        </row>
        <row r="16">
          <cell r="C16">
            <v>131.17525514222788</v>
          </cell>
          <cell r="D16">
            <v>7.9690650567891748</v>
          </cell>
          <cell r="H16">
            <v>139.63725270044714</v>
          </cell>
          <cell r="I16">
            <v>-0.21751654305820978</v>
          </cell>
          <cell r="K16">
            <v>45412</v>
          </cell>
          <cell r="M16">
            <v>127.4592324172859</v>
          </cell>
        </row>
        <row r="17">
          <cell r="C17">
            <v>130.28588156250848</v>
          </cell>
          <cell r="D17">
            <v>9.9805823795454369</v>
          </cell>
          <cell r="H17">
            <v>142.27751112225255</v>
          </cell>
          <cell r="I17">
            <v>-0.28014452127105827</v>
          </cell>
        </row>
        <row r="18">
          <cell r="C18">
            <v>129.72441998830476</v>
          </cell>
          <cell r="D18">
            <v>2.5300141875592224</v>
          </cell>
          <cell r="H18">
            <v>141.02491149822077</v>
          </cell>
          <cell r="I18">
            <v>9.2414642651615928</v>
          </cell>
        </row>
        <row r="19">
          <cell r="C19">
            <v>128.94534320428411</v>
          </cell>
          <cell r="D19">
            <v>1.4402208374515268</v>
          </cell>
          <cell r="H19">
            <v>139.93164975622315</v>
          </cell>
          <cell r="I19">
            <v>12.443179532658064</v>
          </cell>
        </row>
        <row r="20">
          <cell r="H20">
            <v>139.34272247867284</v>
          </cell>
        </row>
        <row r="32">
          <cell r="M32">
            <v>1</v>
          </cell>
          <cell r="N32">
            <v>139.87849069568134</v>
          </cell>
          <cell r="O32">
            <v>2.7933320708213603E-2</v>
          </cell>
        </row>
        <row r="35">
          <cell r="E35">
            <v>3.4223456565418034E-3</v>
          </cell>
          <cell r="F35">
            <v>1.5565898553265435E-2</v>
          </cell>
          <cell r="G35">
            <v>5.7762563325848303E-5</v>
          </cell>
        </row>
        <row r="36">
          <cell r="E36">
            <v>1.0094932119871306E-2</v>
          </cell>
          <cell r="F36">
            <v>4.0132050151129466E-2</v>
          </cell>
          <cell r="G36">
            <v>1.859496458260074E-4</v>
          </cell>
        </row>
        <row r="37">
          <cell r="E37">
            <v>1.72241640195442E-2</v>
          </cell>
          <cell r="F37">
            <v>6.7892504425883932E-2</v>
          </cell>
          <cell r="G37">
            <v>3.4619307806434271E-4</v>
          </cell>
        </row>
        <row r="38">
          <cell r="C38">
            <v>2.8403635158934293E-2</v>
          </cell>
          <cell r="E38">
            <v>2.404548100932373E-2</v>
          </cell>
          <cell r="F38">
            <v>3.4950554449981144E-2</v>
          </cell>
          <cell r="G38">
            <v>5.7934176781997777E-4</v>
          </cell>
          <cell r="L38">
            <v>7.7380301204591356E-2</v>
          </cell>
        </row>
        <row r="39">
          <cell r="E39">
            <v>3.1839384612177654E-2</v>
          </cell>
          <cell r="F39">
            <v>2.3992567515709013E-2</v>
          </cell>
          <cell r="G39">
            <v>1.1055193440237569E-3</v>
          </cell>
        </row>
        <row r="40">
          <cell r="E40">
            <v>3.9088515721873891E-2</v>
          </cell>
          <cell r="F40">
            <v>2.4680122373911716E-2</v>
          </cell>
          <cell r="G40">
            <v>1.4618599481381826E-3</v>
          </cell>
        </row>
        <row r="41">
          <cell r="E41">
            <v>4.6397499886514461E-2</v>
          </cell>
          <cell r="F41">
            <v>2.4565147863215932E-2</v>
          </cell>
          <cell r="G41">
            <v>1.8346595089613537E-3</v>
          </cell>
        </row>
        <row r="42">
          <cell r="E42">
            <v>5.375029143639893E-2</v>
          </cell>
          <cell r="F42">
            <v>2.4397498953593232E-2</v>
          </cell>
          <cell r="G42">
            <v>4.6389790921992326E-4</v>
          </cell>
        </row>
        <row r="43">
          <cell r="E43">
            <v>6.1143399941534136E-2</v>
          </cell>
          <cell r="F43">
            <v>2.4234646065256871E-2</v>
          </cell>
          <cell r="G43">
            <v>2.6389599242705437E-4</v>
          </cell>
        </row>
        <row r="64">
          <cell r="K64">
            <v>4.2189801886897591</v>
          </cell>
          <cell r="L64">
            <v>3.14623853744328</v>
          </cell>
          <cell r="M64">
            <v>2.5777020953999492</v>
          </cell>
        </row>
        <row r="65">
          <cell r="B65">
            <v>2.9922277822116787</v>
          </cell>
          <cell r="C65">
            <v>4.0478613578341625</v>
          </cell>
          <cell r="D65">
            <v>5.2125692652464251</v>
          </cell>
          <cell r="E65">
            <v>6.2122828745724714</v>
          </cell>
          <cell r="F65">
            <v>6.7947117177172061</v>
          </cell>
          <cell r="G65">
            <v>6.7395511700847717</v>
          </cell>
          <cell r="H65">
            <v>6.4856883996110684</v>
          </cell>
          <cell r="I65">
            <v>6.0225105975803892</v>
          </cell>
          <cell r="J65">
            <v>5.2605564433135159</v>
          </cell>
        </row>
      </sheetData>
      <sheetData sheetId="1"/>
      <sheetData sheetId="2"/>
      <sheetData sheetId="3">
        <row r="1">
          <cell r="Q1">
            <v>7.0000000000000001E-3</v>
          </cell>
        </row>
        <row r="5">
          <cell r="U5">
            <v>8.0000000000000002E-3</v>
          </cell>
        </row>
      </sheetData>
      <sheetData sheetId="4">
        <row r="10">
          <cell r="U10">
            <v>0.5</v>
          </cell>
        </row>
        <row r="11">
          <cell r="D11">
            <v>35.107345778133094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5">
        <row r="10">
          <cell r="U10">
            <v>0.5</v>
          </cell>
        </row>
        <row r="11">
          <cell r="D11">
            <v>114.8578763951009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6">
        <row r="10">
          <cell r="U10">
            <v>0.5</v>
          </cell>
        </row>
        <row r="11">
          <cell r="D11">
            <v>185.66778992785657</v>
          </cell>
          <cell r="O11">
            <v>0.15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7">
        <row r="10">
          <cell r="U10">
            <v>0.5</v>
          </cell>
        </row>
        <row r="11">
          <cell r="D11">
            <v>277.68692906999786</v>
          </cell>
          <cell r="O11">
            <v>0.08</v>
          </cell>
        </row>
        <row r="12">
          <cell r="L12">
            <v>0</v>
          </cell>
          <cell r="O12">
            <v>730</v>
          </cell>
        </row>
        <row r="379">
          <cell r="Q379">
            <v>0.6</v>
          </cell>
        </row>
      </sheetData>
      <sheetData sheetId="8">
        <row r="10">
          <cell r="U10">
            <v>0.5</v>
          </cell>
        </row>
        <row r="11">
          <cell r="D11">
            <v>164.06131240255218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133">
          <cell r="O133">
            <v>3.6531631226483834E-2</v>
          </cell>
        </row>
        <row r="379">
          <cell r="Q379">
            <v>0.6</v>
          </cell>
        </row>
      </sheetData>
      <sheetData sheetId="9">
        <row r="10">
          <cell r="U10">
            <v>0.5</v>
          </cell>
        </row>
        <row r="11">
          <cell r="D11">
            <v>199.94071623721629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0">
        <row r="10">
          <cell r="U10">
            <v>0.5</v>
          </cell>
        </row>
        <row r="11">
          <cell r="D11">
            <v>235.16671864050386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1">
        <row r="10">
          <cell r="U10">
            <v>0.5</v>
          </cell>
        </row>
        <row r="11">
          <cell r="D11">
            <v>271.21864702646053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2">
        <row r="10">
          <cell r="U10">
            <v>0.5</v>
          </cell>
        </row>
        <row r="11">
          <cell r="D11">
            <v>306.5804718012796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L14" sqref="L14:L17"/>
    </sheetView>
  </sheetViews>
  <sheetFormatPr baseColWidth="10" defaultRowHeight="15" x14ac:dyDescent="0.25"/>
  <cols>
    <col min="1" max="1" width="32" style="298" customWidth="1"/>
    <col min="2" max="2" width="10.85546875" style="4" bestFit="1" customWidth="1"/>
    <col min="3" max="3" width="0" style="422" hidden="1" customWidth="1"/>
    <col min="4" max="5" width="11.42578125" style="402"/>
    <col min="6" max="6" width="0" style="402" hidden="1" customWidth="1"/>
    <col min="7" max="7" width="11.42578125" style="402"/>
    <col min="8" max="8" width="0" style="423" hidden="1" customWidth="1"/>
    <col min="9" max="12" width="11.42578125" style="423"/>
    <col min="13" max="16384" width="11.42578125" style="298"/>
  </cols>
  <sheetData>
    <row r="1" spans="1:25" x14ac:dyDescent="0.25">
      <c r="G1" s="443" t="s">
        <v>121</v>
      </c>
      <c r="H1" s="456" t="s">
        <v>119</v>
      </c>
      <c r="I1" s="456" t="s">
        <v>120</v>
      </c>
      <c r="J1" s="456" t="s">
        <v>118</v>
      </c>
      <c r="K1" s="456" t="s">
        <v>115</v>
      </c>
      <c r="L1" s="456" t="s">
        <v>117</v>
      </c>
    </row>
    <row r="2" spans="1:25" ht="15.75" x14ac:dyDescent="0.25">
      <c r="A2" s="401" t="s">
        <v>122</v>
      </c>
      <c r="D2" s="454" t="s">
        <v>113</v>
      </c>
      <c r="E2" s="455"/>
      <c r="F2" s="408" t="s">
        <v>111</v>
      </c>
      <c r="G2" s="408" t="s">
        <v>111</v>
      </c>
      <c r="H2" s="456"/>
      <c r="I2" s="456"/>
      <c r="J2" s="456"/>
      <c r="K2" s="456"/>
      <c r="L2" s="456"/>
      <c r="M2" s="458" t="s">
        <v>116</v>
      </c>
    </row>
    <row r="3" spans="1:25" x14ac:dyDescent="0.25">
      <c r="A3" s="403" t="s">
        <v>24</v>
      </c>
      <c r="B3" s="406" t="s">
        <v>110</v>
      </c>
      <c r="C3" s="424" t="s">
        <v>109</v>
      </c>
      <c r="D3" s="415">
        <v>2021</v>
      </c>
      <c r="E3" s="415">
        <v>2022</v>
      </c>
      <c r="F3" s="407" t="s">
        <v>112</v>
      </c>
      <c r="G3" s="407" t="s">
        <v>114</v>
      </c>
      <c r="H3" s="457"/>
      <c r="I3" s="457"/>
      <c r="J3" s="457"/>
      <c r="K3" s="457"/>
      <c r="L3" s="457"/>
      <c r="M3" s="459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</row>
    <row r="4" spans="1:25" x14ac:dyDescent="0.25">
      <c r="A4" s="404" t="s">
        <v>5</v>
      </c>
      <c r="B4" s="409">
        <f>[1]Recap!$C$4</f>
        <v>43209</v>
      </c>
      <c r="C4" s="410">
        <f>[1]Recap!$C$5</f>
        <v>43249</v>
      </c>
      <c r="D4" s="416">
        <f>[1]Recap!$K$14</f>
        <v>44306</v>
      </c>
      <c r="E4" s="417" t="str">
        <f>[1]Recap!$K$15</f>
        <v/>
      </c>
      <c r="F4" s="428">
        <f>[1]Recap!$C$39</f>
        <v>9.3172112867404011E-2</v>
      </c>
      <c r="G4" s="429">
        <f>'[1]2023'!$O$133</f>
        <v>0.10274501027396959</v>
      </c>
      <c r="H4" s="436">
        <f>[1]Recap!$K$16</f>
        <v>45046</v>
      </c>
      <c r="I4" s="439">
        <f t="shared" ref="I4:I18" si="0">+(J4-H4)/365</f>
        <v>2.0027397260273974</v>
      </c>
      <c r="J4" s="436">
        <f>[1]Recap!$K$18</f>
        <v>45777</v>
      </c>
      <c r="K4" s="432">
        <f>[1]Recap!$M$18</f>
        <v>322.58974798122983</v>
      </c>
      <c r="L4" s="470">
        <f>+K4*M4</f>
        <v>76.550547195945839</v>
      </c>
      <c r="M4" s="433">
        <v>0.23730000000000001</v>
      </c>
    </row>
    <row r="5" spans="1:25" x14ac:dyDescent="0.25">
      <c r="A5" s="405" t="s">
        <v>6</v>
      </c>
      <c r="B5" s="411">
        <f>[2]Recap!$C$4</f>
        <v>43243</v>
      </c>
      <c r="C5" s="412">
        <f>[2]Recap!$C$5</f>
        <v>43272</v>
      </c>
      <c r="D5" s="418">
        <f>[2]Recap!$K$14</f>
        <v>44306</v>
      </c>
      <c r="E5" s="419" t="str">
        <f>[2]Recap!$K$15</f>
        <v/>
      </c>
      <c r="F5" s="427">
        <f>[2]Recap!$C$39</f>
        <v>9.737976641309172E-2</v>
      </c>
      <c r="G5" s="425">
        <f>'[2]2023'!$O$133</f>
        <v>0.11292846769042036</v>
      </c>
      <c r="H5" s="437">
        <f>[2]Recap!$K$16</f>
        <v>45046</v>
      </c>
      <c r="I5" s="440">
        <f t="shared" si="0"/>
        <v>2.0027397260273974</v>
      </c>
      <c r="J5" s="437">
        <f>[2]Recap!$K$18</f>
        <v>45777</v>
      </c>
      <c r="K5" s="430">
        <f>[2]Recap!$M$18</f>
        <v>417.63839223114803</v>
      </c>
      <c r="L5" s="442">
        <f t="shared" ref="L5:L18" si="1">+K5*M5</f>
        <v>99.105590476451439</v>
      </c>
      <c r="M5" s="434">
        <v>0.23730000000000001</v>
      </c>
    </row>
    <row r="6" spans="1:25" x14ac:dyDescent="0.25">
      <c r="A6" s="405" t="s">
        <v>7</v>
      </c>
      <c r="B6" s="411">
        <f>[3]Recap!$C$4</f>
        <v>43250</v>
      </c>
      <c r="C6" s="412">
        <f>[3]Recap!$C$5</f>
        <v>43297</v>
      </c>
      <c r="D6" s="418">
        <f>[3]Recap!$K$14</f>
        <v>44306</v>
      </c>
      <c r="E6" s="419" t="str">
        <f>[3]Recap!$K$15</f>
        <v/>
      </c>
      <c r="F6" s="427">
        <f>[3]Recap!$C$39</f>
        <v>5.4012454682629565E-2</v>
      </c>
      <c r="G6" s="425">
        <f>'[3]2023'!$O$133</f>
        <v>6.241199358046659E-2</v>
      </c>
      <c r="H6" s="437">
        <f>[3]Recap!$K$16</f>
        <v>45046</v>
      </c>
      <c r="I6" s="440">
        <f t="shared" si="0"/>
        <v>2.0027397260273974</v>
      </c>
      <c r="J6" s="437">
        <f>[3]Recap!$K$18</f>
        <v>45777</v>
      </c>
      <c r="K6" s="430">
        <f>[3]Recap!$M$18</f>
        <v>933.84071816969697</v>
      </c>
      <c r="L6" s="442">
        <f t="shared" si="1"/>
        <v>221.60040242166909</v>
      </c>
      <c r="M6" s="434">
        <v>0.23730000000000001</v>
      </c>
    </row>
    <row r="7" spans="1:25" x14ac:dyDescent="0.25">
      <c r="A7" s="405" t="s">
        <v>8</v>
      </c>
      <c r="B7" s="411">
        <f>[4]Recap!$C$4</f>
        <v>43259</v>
      </c>
      <c r="C7" s="412">
        <f>[4]Recap!$C$5</f>
        <v>43301</v>
      </c>
      <c r="D7" s="418">
        <f>[4]Recap!$K$14</f>
        <v>44307</v>
      </c>
      <c r="E7" s="419" t="str">
        <f>[4]Recap!$K$15</f>
        <v/>
      </c>
      <c r="F7" s="427">
        <f>[4]Recap!$C$39</f>
        <v>5.3668883254387734E-2</v>
      </c>
      <c r="G7" s="425">
        <f>'[4]2023'!$O$133</f>
        <v>6.1249941231105838E-2</v>
      </c>
      <c r="H7" s="437">
        <f>[4]Recap!$K$16</f>
        <v>45046</v>
      </c>
      <c r="I7" s="440">
        <f t="shared" si="0"/>
        <v>2.0027397260273974</v>
      </c>
      <c r="J7" s="437">
        <f>[4]Recap!$K$18</f>
        <v>45777</v>
      </c>
      <c r="K7" s="430">
        <f>[4]Recap!$M$18</f>
        <v>938.51832075403502</v>
      </c>
      <c r="L7" s="442">
        <f t="shared" si="1"/>
        <v>222.71039751493251</v>
      </c>
      <c r="M7" s="434">
        <v>0.23730000000000001</v>
      </c>
    </row>
    <row r="8" spans="1:25" x14ac:dyDescent="0.25">
      <c r="A8" s="405" t="s">
        <v>9</v>
      </c>
      <c r="B8" s="411">
        <f>[5]Recap!$C$4</f>
        <v>43313</v>
      </c>
      <c r="C8" s="412">
        <f>[5]Recap!$C$5</f>
        <v>43340</v>
      </c>
      <c r="D8" s="418">
        <f>[5]Recap!$K$14</f>
        <v>44307</v>
      </c>
      <c r="E8" s="419" t="str">
        <f>[5]Recap!$K$15</f>
        <v/>
      </c>
      <c r="F8" s="427">
        <f>[5]Recap!$C$39</f>
        <v>0.12183848892664172</v>
      </c>
      <c r="G8" s="425">
        <f>'[5]2023'!$O$133</f>
        <v>0.13317606880789065</v>
      </c>
      <c r="H8" s="437">
        <f>[5]Recap!$K$16</f>
        <v>45046</v>
      </c>
      <c r="I8" s="440">
        <f t="shared" si="0"/>
        <v>2.0027397260273974</v>
      </c>
      <c r="J8" s="437">
        <f>[5]Recap!$K$18</f>
        <v>45777</v>
      </c>
      <c r="K8" s="430">
        <f>[5]Recap!$M$18</f>
        <v>1501.1471570046031</v>
      </c>
      <c r="L8" s="442">
        <f t="shared" si="1"/>
        <v>356.22222035719233</v>
      </c>
      <c r="M8" s="434">
        <v>0.23730000000000001</v>
      </c>
    </row>
    <row r="9" spans="1:25" x14ac:dyDescent="0.25">
      <c r="A9" s="405" t="s">
        <v>10</v>
      </c>
      <c r="B9" s="411">
        <f>[6]Recap!$C$4</f>
        <v>43313</v>
      </c>
      <c r="C9" s="412">
        <f>[6]Recap!$C$5</f>
        <v>43354</v>
      </c>
      <c r="D9" s="418">
        <f>[6]Recap!$K$14</f>
        <v>44306</v>
      </c>
      <c r="E9" s="419" t="str">
        <f>[6]Recap!$K$15</f>
        <v/>
      </c>
      <c r="F9" s="427">
        <f>[6]Recap!$C$39</f>
        <v>0.10212546462124136</v>
      </c>
      <c r="G9" s="425">
        <f>'[6]2023'!$O$133</f>
        <v>0.11276994136905134</v>
      </c>
      <c r="H9" s="437">
        <f>[6]Recap!$K$16</f>
        <v>45046</v>
      </c>
      <c r="I9" s="440">
        <f t="shared" si="0"/>
        <v>2.0027397260273974</v>
      </c>
      <c r="J9" s="437">
        <f>[6]Recap!$K$18</f>
        <v>45777</v>
      </c>
      <c r="K9" s="430">
        <f>[6]Recap!$M$18</f>
        <v>532.52832716255739</v>
      </c>
      <c r="L9" s="442">
        <f t="shared" si="1"/>
        <v>126.36897203567487</v>
      </c>
      <c r="M9" s="434">
        <v>0.23730000000000001</v>
      </c>
    </row>
    <row r="10" spans="1:25" x14ac:dyDescent="0.25">
      <c r="A10" s="405" t="s">
        <v>11</v>
      </c>
      <c r="B10" s="411">
        <f>[7]Recap!$C$4</f>
        <v>43313</v>
      </c>
      <c r="C10" s="412">
        <f>[7]Recap!$C$5</f>
        <v>43354</v>
      </c>
      <c r="D10" s="418">
        <f>[7]Recap!$K$14</f>
        <v>44306</v>
      </c>
      <c r="E10" s="419">
        <f>[7]Recap!$K$15</f>
        <v>44854</v>
      </c>
      <c r="F10" s="425">
        <f>[7]Recap!$C$39</f>
        <v>3.9843868227822786E-2</v>
      </c>
      <c r="G10" s="425">
        <f>'[7]2023'!$O$133</f>
        <v>6.3133338722171847E-2</v>
      </c>
      <c r="H10" s="437">
        <f>[7]Recap!$K$16</f>
        <v>45046</v>
      </c>
      <c r="I10" s="440">
        <f t="shared" si="0"/>
        <v>1.0027397260273974</v>
      </c>
      <c r="J10" s="437">
        <f>[7]Recap!$K$17</f>
        <v>45412</v>
      </c>
      <c r="K10" s="430">
        <f>[7]Recap!$M$17</f>
        <v>330.08098400708894</v>
      </c>
      <c r="L10" s="442">
        <f t="shared" si="1"/>
        <v>78.328217504882204</v>
      </c>
      <c r="M10" s="434">
        <v>0.23730000000000001</v>
      </c>
    </row>
    <row r="11" spans="1:25" x14ac:dyDescent="0.25">
      <c r="A11" s="405" t="s">
        <v>12</v>
      </c>
      <c r="B11" s="411">
        <f>[8]Recap!$C$4</f>
        <v>43475</v>
      </c>
      <c r="C11" s="412">
        <f>[8]Recap!$C$5</f>
        <v>43522</v>
      </c>
      <c r="D11" s="418" t="str">
        <f>[8]Recap!$K$13</f>
        <v/>
      </c>
      <c r="E11" s="419">
        <f>[8]Recap!$K$14</f>
        <v>44683</v>
      </c>
      <c r="F11" s="425">
        <f>[8]Recap!$C$38</f>
        <v>1.9550196931185999E-2</v>
      </c>
      <c r="G11" s="425">
        <f>'[8]2023'!$O$133</f>
        <v>2.4995833673155981E-2</v>
      </c>
      <c r="H11" s="437">
        <f>[8]Recap!$K$15</f>
        <v>45046</v>
      </c>
      <c r="I11" s="440">
        <f t="shared" si="0"/>
        <v>1.0027397260273974</v>
      </c>
      <c r="J11" s="437">
        <f>[8]Recap!$K$16</f>
        <v>45412</v>
      </c>
      <c r="K11" s="430">
        <f>[8]Recap!$M$16</f>
        <v>178.9047618215028</v>
      </c>
      <c r="L11" s="442">
        <f t="shared" si="1"/>
        <v>35.119004745561</v>
      </c>
      <c r="M11" s="434">
        <v>0.1963</v>
      </c>
    </row>
    <row r="12" spans="1:25" x14ac:dyDescent="0.25">
      <c r="A12" s="405" t="s">
        <v>13</v>
      </c>
      <c r="B12" s="411">
        <f>[9]Recap!$C$4</f>
        <v>43481</v>
      </c>
      <c r="C12" s="412">
        <f>[9]Recap!$C$5</f>
        <v>43476</v>
      </c>
      <c r="D12" s="418" t="str">
        <f>[9]Recap!$K$13</f>
        <v/>
      </c>
      <c r="E12" s="419">
        <f>[9]Recap!$K$14</f>
        <v>44683</v>
      </c>
      <c r="F12" s="425">
        <f>[9]Recap!$C$38</f>
        <v>2.8403635158934293E-2</v>
      </c>
      <c r="G12" s="425">
        <f>'[9]2023'!$O$133</f>
        <v>3.6531631226483834E-2</v>
      </c>
      <c r="H12" s="437">
        <f>[9]Recap!$K$15</f>
        <v>45046</v>
      </c>
      <c r="I12" s="440">
        <f t="shared" si="0"/>
        <v>1.0027397260273974</v>
      </c>
      <c r="J12" s="437">
        <f>[9]Recap!$K$16</f>
        <v>45412</v>
      </c>
      <c r="K12" s="430">
        <f>[9]Recap!$M$16</f>
        <v>127.4592324172859</v>
      </c>
      <c r="L12" s="442">
        <f t="shared" si="1"/>
        <v>25.020247323513225</v>
      </c>
      <c r="M12" s="434">
        <v>0.1963</v>
      </c>
    </row>
    <row r="13" spans="1:25" x14ac:dyDescent="0.25">
      <c r="A13" s="405" t="s">
        <v>92</v>
      </c>
      <c r="B13" s="411">
        <f>[10]Recap!$C$4</f>
        <v>43496</v>
      </c>
      <c r="C13" s="412">
        <f>[10]Recap!$C$5</f>
        <v>43535</v>
      </c>
      <c r="D13" s="418" t="str">
        <f>[10]Recap!$K$13</f>
        <v/>
      </c>
      <c r="E13" s="419">
        <f>[10]Recap!$K$14</f>
        <v>44683</v>
      </c>
      <c r="F13" s="425">
        <f>[10]Recap!$C$38</f>
        <v>2.7127379112340089E-2</v>
      </c>
      <c r="G13" s="425">
        <f>'[10]2023'!$O$133</f>
        <v>3.4982250757871251E-2</v>
      </c>
      <c r="H13" s="437">
        <f>[10]Recap!$K$15</f>
        <v>45046</v>
      </c>
      <c r="I13" s="440">
        <f t="shared" si="0"/>
        <v>1.0027397260273974</v>
      </c>
      <c r="J13" s="437">
        <f>[10]Recap!$K$16</f>
        <v>45412</v>
      </c>
      <c r="K13" s="430">
        <f>[10]Recap!$M$16</f>
        <v>266.72713868688481</v>
      </c>
      <c r="L13" s="442">
        <f t="shared" si="1"/>
        <v>52.358537324235492</v>
      </c>
      <c r="M13" s="434">
        <v>0.1963</v>
      </c>
    </row>
    <row r="14" spans="1:25" x14ac:dyDescent="0.25">
      <c r="A14" s="405" t="s">
        <v>15</v>
      </c>
      <c r="B14" s="411">
        <f>[11]Recap!$C$4</f>
        <v>43763</v>
      </c>
      <c r="C14" s="412">
        <f>[11]Recap!$C$5</f>
        <v>43851</v>
      </c>
      <c r="D14" s="418" t="str">
        <f>[11]Recap!$K$12</f>
        <v/>
      </c>
      <c r="E14" s="419">
        <f>[11]Recap!$K$13</f>
        <v>44683</v>
      </c>
      <c r="F14" s="425">
        <f>[11]Recap!$C$37</f>
        <v>3.5481489966279291E-2</v>
      </c>
      <c r="G14" s="425">
        <f>'[11]2023'!$O$133</f>
        <v>4.7753836240807326E-2</v>
      </c>
      <c r="H14" s="437">
        <f>[11]Recap!$K$14</f>
        <v>45046</v>
      </c>
      <c r="I14" s="440">
        <f t="shared" si="0"/>
        <v>1.0027397260273974</v>
      </c>
      <c r="J14" s="437">
        <f>[11]Recap!$K$15</f>
        <v>45412</v>
      </c>
      <c r="K14" s="430">
        <f>[11]Recap!$M$15</f>
        <v>1768.6502024526785</v>
      </c>
      <c r="L14" s="442">
        <f t="shared" si="1"/>
        <v>213.4760794360383</v>
      </c>
      <c r="M14" s="434">
        <v>0.1207</v>
      </c>
    </row>
    <row r="15" spans="1:25" x14ac:dyDescent="0.25">
      <c r="A15" s="405" t="s">
        <v>108</v>
      </c>
      <c r="B15" s="411">
        <f>[12]Recap!$C$4</f>
        <v>43808</v>
      </c>
      <c r="C15" s="412">
        <f>[12]Recap!$C$5</f>
        <v>43854</v>
      </c>
      <c r="D15" s="418" t="str">
        <f>[12]Recap!$K$12</f>
        <v/>
      </c>
      <c r="E15" s="419">
        <f>[12]Recap!$K$13</f>
        <v>44683</v>
      </c>
      <c r="F15" s="425">
        <f>[12]Recap!$C$37</f>
        <v>1.5154364362308178E-2</v>
      </c>
      <c r="G15" s="425">
        <f>'[12]2023'!$O$133</f>
        <v>1.9972834169430537E-2</v>
      </c>
      <c r="H15" s="437">
        <f>[12]Recap!$K$14</f>
        <v>45046</v>
      </c>
      <c r="I15" s="440">
        <f t="shared" si="0"/>
        <v>1.0027397260273974</v>
      </c>
      <c r="J15" s="437">
        <f>[12]Recap!$K$15</f>
        <v>45412</v>
      </c>
      <c r="K15" s="430">
        <f>[12]Recap!$M$15</f>
        <v>638.11867672016092</v>
      </c>
      <c r="L15" s="442">
        <f t="shared" si="1"/>
        <v>77.020924280123424</v>
      </c>
      <c r="M15" s="434">
        <v>0.1207</v>
      </c>
    </row>
    <row r="16" spans="1:25" x14ac:dyDescent="0.25">
      <c r="A16" s="405" t="s">
        <v>17</v>
      </c>
      <c r="B16" s="411">
        <f>[13]Recap!$C$4</f>
        <v>43881</v>
      </c>
      <c r="C16" s="412">
        <f>[13]Recap!$C$5</f>
        <v>43983</v>
      </c>
      <c r="D16" s="418" t="str">
        <f>[13]Recap!$K$12</f>
        <v/>
      </c>
      <c r="E16" s="419" t="str">
        <f>[13]Recap!$K$11</f>
        <v/>
      </c>
      <c r="F16" s="427">
        <f>[13]Recap!$C$37</f>
        <v>5.3893978729115229E-2</v>
      </c>
      <c r="G16" s="425">
        <f>'[13]2023'!$O$133</f>
        <v>5.7885469663180554E-2</v>
      </c>
      <c r="H16" s="437">
        <f>[13]Recap!$K$14</f>
        <v>45046</v>
      </c>
      <c r="I16" s="440">
        <f t="shared" si="0"/>
        <v>2.0027397260273974</v>
      </c>
      <c r="J16" s="437">
        <f>[13]Recap!$K$16</f>
        <v>45777</v>
      </c>
      <c r="K16" s="430">
        <f>[13]Recap!$M$16</f>
        <v>3079.5885468002307</v>
      </c>
      <c r="L16" s="442">
        <f t="shared" si="1"/>
        <v>371.70633759878785</v>
      </c>
      <c r="M16" s="434">
        <v>0.1207</v>
      </c>
    </row>
    <row r="17" spans="1:13" x14ac:dyDescent="0.25">
      <c r="A17" s="405" t="s">
        <v>18</v>
      </c>
      <c r="B17" s="411">
        <f>[14]Recap!$C$4</f>
        <v>44424</v>
      </c>
      <c r="C17" s="412">
        <f>[14]Recap!$C$5</f>
        <v>44536</v>
      </c>
      <c r="D17" s="418"/>
      <c r="E17" s="419" t="str">
        <f>[14]Recap!$K$11</f>
        <v/>
      </c>
      <c r="F17" s="425">
        <f>[14]Recap!$C$35</f>
        <v>2.9436928440858216E-2</v>
      </c>
      <c r="G17" s="425">
        <f>'[14]2023'!$O$133</f>
        <v>3.4993230934781447E-2</v>
      </c>
      <c r="H17" s="437">
        <f>[14]Recap!$K$12</f>
        <v>45046</v>
      </c>
      <c r="I17" s="440">
        <f t="shared" si="0"/>
        <v>1.0027397260273974</v>
      </c>
      <c r="J17" s="437">
        <f>[14]Recap!$K$13</f>
        <v>45412</v>
      </c>
      <c r="K17" s="430">
        <f>[14]Recap!$M$13</f>
        <v>1473.5435443337005</v>
      </c>
      <c r="L17" s="442">
        <f t="shared" si="1"/>
        <v>167.24719228187502</v>
      </c>
      <c r="M17" s="434">
        <v>0.1135</v>
      </c>
    </row>
    <row r="18" spans="1:13" x14ac:dyDescent="0.25">
      <c r="A18" s="403" t="s">
        <v>103</v>
      </c>
      <c r="B18" s="413">
        <f>[15]Recap!$C$4</f>
        <v>44522</v>
      </c>
      <c r="C18" s="414">
        <f>[15]Recap!$C$5</f>
        <v>44568</v>
      </c>
      <c r="D18" s="420"/>
      <c r="E18" s="421" t="str">
        <f>[15]Recap!$K$11</f>
        <v/>
      </c>
      <c r="F18" s="426">
        <f>[15]Recap!$C$35</f>
        <v>2.4698364221137914E-2</v>
      </c>
      <c r="G18" s="426">
        <f>'[15]2023'!$O$133</f>
        <v>3.0700399563379131E-2</v>
      </c>
      <c r="H18" s="438">
        <f>[15]Recap!$K$12</f>
        <v>45046</v>
      </c>
      <c r="I18" s="441">
        <f t="shared" si="0"/>
        <v>1.0027397260273974</v>
      </c>
      <c r="J18" s="438">
        <f>[15]Recap!$K$13</f>
        <v>45412</v>
      </c>
      <c r="K18" s="431">
        <f>[15]Recap!$M$13</f>
        <v>319.22538478051013</v>
      </c>
      <c r="L18" s="471">
        <f t="shared" si="1"/>
        <v>48.554181025115597</v>
      </c>
      <c r="M18" s="435">
        <v>0.15210000000000001</v>
      </c>
    </row>
  </sheetData>
  <mergeCells count="7">
    <mergeCell ref="D2:E2"/>
    <mergeCell ref="K1:K3"/>
    <mergeCell ref="L1:L3"/>
    <mergeCell ref="M2:M3"/>
    <mergeCell ref="J1:J3"/>
    <mergeCell ref="H1:H3"/>
    <mergeCell ref="I1:I3"/>
  </mergeCells>
  <conditionalFormatting sqref="L4:L13">
    <cfRule type="expression" dxfId="5" priority="3">
      <formula>L4&gt;110</formula>
    </cfRule>
  </conditionalFormatting>
  <conditionalFormatting sqref="L18">
    <cfRule type="expression" dxfId="3" priority="2">
      <formula>L18&gt;110</formula>
    </cfRule>
  </conditionalFormatting>
  <conditionalFormatting sqref="L14:L17">
    <cfRule type="expression" dxfId="1" priority="1">
      <formula>L14&gt;144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6"/>
  <sheetViews>
    <sheetView topLeftCell="A16" workbookViewId="0">
      <selection activeCell="A39" sqref="A39:P39"/>
    </sheetView>
  </sheetViews>
  <sheetFormatPr baseColWidth="10" defaultRowHeight="15" x14ac:dyDescent="0.25"/>
  <cols>
    <col min="1" max="1" width="27.140625" customWidth="1"/>
    <col min="2" max="16" width="9.5703125" style="366" customWidth="1"/>
  </cols>
  <sheetData>
    <row r="1" spans="1:17" ht="18.75" x14ac:dyDescent="0.3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4"/>
    </row>
    <row r="2" spans="1:17" ht="7.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6"/>
    </row>
    <row r="3" spans="1:17" s="15" customFormat="1" ht="36" x14ac:dyDescent="0.2">
      <c r="A3" s="341" t="s">
        <v>87</v>
      </c>
      <c r="B3" s="342" t="s">
        <v>5</v>
      </c>
      <c r="C3" s="342" t="s">
        <v>6</v>
      </c>
      <c r="D3" s="342" t="s">
        <v>7</v>
      </c>
      <c r="E3" s="342" t="s">
        <v>8</v>
      </c>
      <c r="F3" s="342" t="s">
        <v>9</v>
      </c>
      <c r="G3" s="342" t="s">
        <v>10</v>
      </c>
      <c r="H3" s="342" t="s">
        <v>11</v>
      </c>
      <c r="I3" s="342" t="s">
        <v>12</v>
      </c>
      <c r="J3" s="342" t="s">
        <v>13</v>
      </c>
      <c r="K3" s="342" t="s">
        <v>88</v>
      </c>
      <c r="L3" s="342" t="s">
        <v>15</v>
      </c>
      <c r="M3" s="342" t="s">
        <v>16</v>
      </c>
      <c r="N3" s="342" t="s">
        <v>17</v>
      </c>
      <c r="O3" s="342" t="s">
        <v>18</v>
      </c>
      <c r="P3" s="342" t="s">
        <v>19</v>
      </c>
    </row>
    <row r="4" spans="1:17" x14ac:dyDescent="0.25">
      <c r="A4" s="343" t="s">
        <v>99</v>
      </c>
      <c r="B4" s="367">
        <f>Pertes!T23</f>
        <v>4.3637206482691517E-3</v>
      </c>
      <c r="C4" s="367">
        <f>Pertes!U23</f>
        <v>1.7028019052896266E-3</v>
      </c>
      <c r="D4" s="367">
        <f>Pertes!V23</f>
        <v>2.6741741248463818E-4</v>
      </c>
      <c r="E4" s="367">
        <f>Pertes!W23</f>
        <v>8.4619993581648337E-5</v>
      </c>
      <c r="F4" s="367">
        <f>Pertes!X23</f>
        <v>1.7508403757723176E-3</v>
      </c>
      <c r="G4" s="367">
        <f>Pertes!Y23</f>
        <v>4.8886297070358637E-4</v>
      </c>
      <c r="H4" s="367">
        <f>Pertes!Z23</f>
        <v>9.6013416817634055E-3</v>
      </c>
      <c r="I4" s="367">
        <f>Pertes!AA23</f>
        <v>3.1600389036704536E-3</v>
      </c>
      <c r="J4" s="367">
        <f>Pertes!AB23</f>
        <v>5.7934176781997777E-4</v>
      </c>
      <c r="K4" s="367">
        <f>Pertes!AC23</f>
        <v>2.9469959024322126E-5</v>
      </c>
      <c r="L4" s="367">
        <f>Pertes!AD23</f>
        <v>1.4061788759785723E-5</v>
      </c>
      <c r="M4" s="367">
        <f>Pertes!AE23</f>
        <v>1.2343979656983357E-4</v>
      </c>
      <c r="N4" s="367">
        <f>Pertes!AF23</f>
        <v>9.7389982502581092E-6</v>
      </c>
      <c r="O4" s="367">
        <f>Pertes!AG23</f>
        <v>4.0972298304039836E-5</v>
      </c>
      <c r="P4" s="368">
        <f>Pertes!AH23</f>
        <v>1.224006221423847E-4</v>
      </c>
    </row>
    <row r="5" spans="1:17" x14ac:dyDescent="0.25">
      <c r="A5" s="346" t="s">
        <v>100</v>
      </c>
      <c r="B5" s="369">
        <f>Pertes!T9</f>
        <v>8.2066513585501252E-2</v>
      </c>
      <c r="C5" s="369">
        <f>Pertes!U9</f>
        <v>7.1997045409124799E-2</v>
      </c>
      <c r="D5" s="369">
        <f>Pertes!V9</f>
        <v>4.0878522946332305E-2</v>
      </c>
      <c r="E5" s="369">
        <f>Pertes!W9</f>
        <v>4.1274884496331612E-2</v>
      </c>
      <c r="F5" s="369">
        <f>Pertes!X9</f>
        <v>0.10814025260464089</v>
      </c>
      <c r="G5" s="369">
        <f>Pertes!Y9</f>
        <v>9.150835972314636E-2</v>
      </c>
      <c r="H5" s="369">
        <f>Pertes!Z9</f>
        <v>0.13972581590977767</v>
      </c>
      <c r="I5" s="369">
        <f>Pertes!AA9</f>
        <v>3.0156458155402827E-2</v>
      </c>
      <c r="J5" s="369">
        <f>Pertes!AB9</f>
        <v>3.4950554449981144E-2</v>
      </c>
      <c r="K5" s="369">
        <f>Pertes!AC9</f>
        <v>4.3468339145651673E-2</v>
      </c>
      <c r="L5" s="369">
        <f>Pertes!AD9</f>
        <v>2.5499195570433755E-2</v>
      </c>
      <c r="M5" s="369">
        <f>Pertes!AE9</f>
        <v>1.9095836738424476E-2</v>
      </c>
      <c r="N5" s="369">
        <f>Pertes!AF9</f>
        <v>4.1707658943991616E-2</v>
      </c>
      <c r="O5" s="369">
        <f>Pertes!AG9</f>
        <v>2.0742102046489776E-2</v>
      </c>
      <c r="P5" s="370">
        <f>Pertes!AH9</f>
        <v>1.4934919672471136E-2</v>
      </c>
    </row>
    <row r="6" spans="1:17" x14ac:dyDescent="0.25">
      <c r="A6" s="349" t="s">
        <v>91</v>
      </c>
      <c r="B6" s="350">
        <f>[1]Recap!$L$38</f>
        <v>9.2374320811537389E-2</v>
      </c>
      <c r="C6" s="351">
        <f>[2]Recap!$L$38</f>
        <v>7.6966161784992645E-2</v>
      </c>
      <c r="D6" s="351">
        <f>[3]Recap!$L$38</f>
        <v>4.1728153322544911E-2</v>
      </c>
      <c r="E6" s="351">
        <f>[4]Recap!$L$38</f>
        <v>5.1744622120926613E-2</v>
      </c>
      <c r="F6" s="351">
        <f>[5]Recap!$L$38</f>
        <v>9.5363472841258151E-2</v>
      </c>
      <c r="G6" s="351">
        <f>[6]Recap!$L$38</f>
        <v>9.5265982743073477E-2</v>
      </c>
      <c r="H6" s="351">
        <f>[7]Recap!$L$38</f>
        <v>0.10287433262255685</v>
      </c>
      <c r="I6" s="351">
        <f>[8]Recap!$L$38</f>
        <v>7.8261019105572857E-2</v>
      </c>
      <c r="J6" s="351">
        <f>[9]Recap!$L$38</f>
        <v>7.7380301204591356E-2</v>
      </c>
      <c r="K6" s="351">
        <f>[10]Recap!$L$38</f>
        <v>0.1076176218294741</v>
      </c>
      <c r="L6" s="351">
        <f>[11]Recap!$L$37</f>
        <v>3.6006653894440396E-2</v>
      </c>
      <c r="M6" s="351">
        <f>[12]Recap!$L$37</f>
        <v>4.5103415520396845E-2</v>
      </c>
      <c r="N6" s="351"/>
      <c r="O6" s="351"/>
      <c r="P6" s="352"/>
    </row>
    <row r="22" spans="1:24" s="15" customFormat="1" ht="48" x14ac:dyDescent="0.25">
      <c r="B22" s="342" t="s">
        <v>6</v>
      </c>
      <c r="C22" s="342" t="s">
        <v>6</v>
      </c>
      <c r="D22" s="342" t="s">
        <v>7</v>
      </c>
      <c r="E22" s="342" t="s">
        <v>8</v>
      </c>
      <c r="F22" s="342" t="s">
        <v>9</v>
      </c>
      <c r="G22" s="342" t="s">
        <v>10</v>
      </c>
      <c r="H22" s="342" t="s">
        <v>11</v>
      </c>
      <c r="I22" s="342" t="s">
        <v>12</v>
      </c>
      <c r="J22" s="342" t="s">
        <v>13</v>
      </c>
      <c r="K22" s="342" t="s">
        <v>92</v>
      </c>
      <c r="L22" s="342" t="s">
        <v>15</v>
      </c>
      <c r="M22" s="342" t="s">
        <v>16</v>
      </c>
      <c r="N22" s="342" t="s">
        <v>17</v>
      </c>
      <c r="O22" s="342" t="s">
        <v>18</v>
      </c>
      <c r="P22" s="342" t="s">
        <v>19</v>
      </c>
      <c r="Q22"/>
      <c r="R22" s="462" t="s">
        <v>24</v>
      </c>
      <c r="S22" s="463"/>
      <c r="T22" s="464" t="s">
        <v>25</v>
      </c>
      <c r="U22" s="465"/>
      <c r="V22" s="465"/>
      <c r="W22" s="465"/>
      <c r="X22" s="465"/>
    </row>
    <row r="23" spans="1:24" s="298" customFormat="1" x14ac:dyDescent="0.25">
      <c r="A23" s="371" t="s">
        <v>101</v>
      </c>
      <c r="B23" s="372">
        <f>'[1]Réglage perte'!$U$5</f>
        <v>1.7000000000000001E-2</v>
      </c>
      <c r="C23" s="373">
        <f>'[2]Réglage perte'!$U$5</f>
        <v>8.0000000000000002E-3</v>
      </c>
      <c r="D23" s="373">
        <f>'[3]Réglage perte'!$U$5</f>
        <v>5.4999999999999997E-3</v>
      </c>
      <c r="E23" s="373">
        <f>'[4]Réglage perte'!$U$5</f>
        <v>5.0000000000000001E-3</v>
      </c>
      <c r="F23" s="373">
        <f>'[5]Réglage perte'!$U$5</f>
        <v>1.7999999999999999E-2</v>
      </c>
      <c r="G23" s="373">
        <f>'[6]Réglage perte'!$U$5</f>
        <v>1.7999999999999999E-2</v>
      </c>
      <c r="H23" s="373">
        <f>'[7]Réglage perte'!$U$5</f>
        <v>2.5000000000000001E-2</v>
      </c>
      <c r="I23" s="373">
        <f>'[2]Réglage perte'!$U$5</f>
        <v>8.0000000000000002E-3</v>
      </c>
      <c r="J23" s="373">
        <f>'[9]Réglage perte'!$U$5</f>
        <v>8.0000000000000002E-3</v>
      </c>
      <c r="K23" s="373">
        <f>'[10]Réglage perte'!$U$5</f>
        <v>8.9999999999999993E-3</v>
      </c>
      <c r="L23" s="373">
        <f>'[11]Réglage perte'!$O$5</f>
        <v>7.0000000000000001E-3</v>
      </c>
      <c r="M23" s="373">
        <f>'[12]Réglage perte'!$O$5</f>
        <v>4.0000000000000001E-3</v>
      </c>
      <c r="N23" s="373"/>
      <c r="O23" s="373"/>
      <c r="P23" s="374"/>
      <c r="R23" s="460" t="s">
        <v>27</v>
      </c>
      <c r="S23" s="461"/>
      <c r="T23" s="353" t="str">
        <f>'Réglages pertes'!U30</f>
        <v>Particularités de réglages</v>
      </c>
    </row>
    <row r="24" spans="1:24" s="150" customFormat="1" x14ac:dyDescent="0.25">
      <c r="A24" s="375" t="s">
        <v>102</v>
      </c>
      <c r="B24" s="376">
        <f>B23/(B23+B6)</f>
        <v>0.15542953660295325</v>
      </c>
      <c r="C24" s="377">
        <f t="shared" ref="C24:M24" si="0">C23/(C23+C6)</f>
        <v>9.4155129900348397E-2</v>
      </c>
      <c r="D24" s="377">
        <f t="shared" si="0"/>
        <v>0.11645596139314875</v>
      </c>
      <c r="E24" s="377">
        <f t="shared" si="0"/>
        <v>8.8114076948907397E-2</v>
      </c>
      <c r="F24" s="377">
        <f t="shared" si="0"/>
        <v>0.15878130361448292</v>
      </c>
      <c r="G24" s="377">
        <f t="shared" si="0"/>
        <v>0.15891796957988913</v>
      </c>
      <c r="H24" s="377">
        <f t="shared" si="0"/>
        <v>0.19550444164421812</v>
      </c>
      <c r="I24" s="377">
        <f t="shared" si="0"/>
        <v>9.2741774708330157E-2</v>
      </c>
      <c r="J24" s="377">
        <f t="shared" si="0"/>
        <v>9.3698427941008439E-2</v>
      </c>
      <c r="K24" s="377">
        <f t="shared" si="0"/>
        <v>7.7175300428955651E-2</v>
      </c>
      <c r="L24" s="377">
        <f t="shared" si="0"/>
        <v>0.16276551105746248</v>
      </c>
      <c r="M24" s="377">
        <f t="shared" si="0"/>
        <v>8.1460728497357943E-2</v>
      </c>
      <c r="N24" s="377"/>
      <c r="O24" s="377"/>
      <c r="P24" s="378"/>
      <c r="R24" s="466" t="s">
        <v>27</v>
      </c>
      <c r="S24" s="467"/>
      <c r="T24" s="379" t="str">
        <f>'Réglages pertes'!U31</f>
        <v>Quelques pertes végétation; Taux de salissure assez fort augmente en 2022</v>
      </c>
    </row>
    <row r="25" spans="1:24" x14ac:dyDescent="0.25">
      <c r="R25" s="460" t="s">
        <v>31</v>
      </c>
      <c r="S25" s="461" t="s">
        <v>31</v>
      </c>
      <c r="T25" s="353" t="str">
        <f>'Réglages pertes'!U33</f>
        <v>Taux de salissure assez faible augmente en 2022</v>
      </c>
    </row>
    <row r="26" spans="1:24" x14ac:dyDescent="0.25">
      <c r="R26" s="460" t="s">
        <v>32</v>
      </c>
      <c r="S26" s="461" t="s">
        <v>32</v>
      </c>
      <c r="T26" s="353" t="str">
        <f>'Réglages pertes'!U34</f>
        <v>Faible taux de pertes PV et de salissure</v>
      </c>
    </row>
    <row r="27" spans="1:24" x14ac:dyDescent="0.25">
      <c r="R27" s="460" t="s">
        <v>34</v>
      </c>
      <c r="S27" s="461" t="s">
        <v>34</v>
      </c>
      <c r="T27" s="360" t="str">
        <f>'Réglages pertes'!U35</f>
        <v>Fort taux de perte PV + 1/3 module; salissures assez fortes: 2eme position</v>
      </c>
    </row>
    <row r="28" spans="1:24" s="363" customFormat="1" x14ac:dyDescent="0.25">
      <c r="A28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R28" s="460" t="s">
        <v>36</v>
      </c>
      <c r="S28" s="461" t="s">
        <v>36</v>
      </c>
      <c r="T28" s="353" t="str">
        <f>'Réglages pertes'!U36</f>
        <v>RAS</v>
      </c>
    </row>
    <row r="29" spans="1:24" x14ac:dyDescent="0.25">
      <c r="R29" s="460" t="s">
        <v>38</v>
      </c>
      <c r="S29" s="461" t="s">
        <v>38</v>
      </c>
      <c r="T29" s="360" t="str">
        <f>'Réglages pertes'!U37</f>
        <v>Taux PV salissure et végétation sont les plus élevés!</v>
      </c>
    </row>
    <row r="30" spans="1:24" x14ac:dyDescent="0.25">
      <c r="R30" s="460" t="s">
        <v>40</v>
      </c>
      <c r="S30" s="461" t="s">
        <v>40</v>
      </c>
      <c r="T30" s="353" t="str">
        <f>'Réglages pertes'!U38</f>
        <v>Augmentation salissures depuis 2021 effacé par nettoyage 22</v>
      </c>
    </row>
    <row r="31" spans="1:24" x14ac:dyDescent="0.25">
      <c r="R31" s="460" t="s">
        <v>42</v>
      </c>
      <c r="S31" s="461" t="s">
        <v>42</v>
      </c>
      <c r="T31" s="353" t="str">
        <f>'Réglages pertes'!U39</f>
        <v>Légère augmentation taux de salissure en 2022 effacé par nettoyage 22</v>
      </c>
    </row>
    <row r="32" spans="1:24" x14ac:dyDescent="0.25">
      <c r="R32" s="460" t="s">
        <v>44</v>
      </c>
      <c r="S32" s="461" t="s">
        <v>45</v>
      </c>
      <c r="T32" s="353" t="str">
        <f>'Réglages pertes'!U40</f>
        <v>Forte augmentation salissures en 2021-22  effacé par nettoyage 22</v>
      </c>
    </row>
    <row r="33" spans="1:20" x14ac:dyDescent="0.25">
      <c r="R33" s="460" t="s">
        <v>47</v>
      </c>
      <c r="S33" s="461" t="s">
        <v>47</v>
      </c>
      <c r="T33" s="353" t="str">
        <f>'Réglages pertes'!U41</f>
        <v>Augmentation taux de salissure en 2022 effacé par nettoyage 22</v>
      </c>
    </row>
    <row r="34" spans="1:20" x14ac:dyDescent="0.25">
      <c r="R34" s="460" t="s">
        <v>49</v>
      </c>
      <c r="S34" s="461" t="s">
        <v>49</v>
      </c>
      <c r="T34" s="353" t="str">
        <f>'Réglages pertes'!U42</f>
        <v>Fort taux de salissure en 2021-22 effacé par nettoyage 22</v>
      </c>
    </row>
    <row r="35" spans="1:20" x14ac:dyDescent="0.25">
      <c r="R35" s="460" t="s">
        <v>51</v>
      </c>
      <c r="S35" s="461" t="s">
        <v>51</v>
      </c>
      <c r="T35" s="353" t="str">
        <f>'Réglages pertes'!U43</f>
        <v>Taux de salissure initialement le plus faible augmente en 2022</v>
      </c>
    </row>
    <row r="36" spans="1:20" ht="15" customHeight="1" x14ac:dyDescent="0.25">
      <c r="R36" s="460" t="s">
        <v>18</v>
      </c>
      <c r="S36" s="461"/>
      <c r="T36" s="353"/>
    </row>
    <row r="37" spans="1:20" ht="15" customHeight="1" x14ac:dyDescent="0.25">
      <c r="R37" s="460" t="s">
        <v>103</v>
      </c>
      <c r="S37" s="461"/>
      <c r="T37" s="353"/>
    </row>
    <row r="39" spans="1:20" ht="48" x14ac:dyDescent="0.25">
      <c r="A39" s="384" t="s">
        <v>104</v>
      </c>
      <c r="B39" s="342" t="s">
        <v>5</v>
      </c>
      <c r="C39" s="342" t="s">
        <v>6</v>
      </c>
      <c r="D39" s="342" t="s">
        <v>7</v>
      </c>
      <c r="E39" s="342" t="s">
        <v>8</v>
      </c>
      <c r="F39" s="342" t="s">
        <v>9</v>
      </c>
      <c r="G39" s="342" t="s">
        <v>10</v>
      </c>
      <c r="H39" s="342" t="s">
        <v>11</v>
      </c>
      <c r="I39" s="342" t="s">
        <v>12</v>
      </c>
      <c r="J39" s="342" t="s">
        <v>13</v>
      </c>
      <c r="K39" s="342" t="s">
        <v>92</v>
      </c>
      <c r="L39" s="342" t="s">
        <v>15</v>
      </c>
      <c r="M39" s="342" t="s">
        <v>16</v>
      </c>
      <c r="N39" s="342" t="s">
        <v>17</v>
      </c>
      <c r="O39" s="342" t="s">
        <v>18</v>
      </c>
      <c r="P39" s="342" t="s">
        <v>19</v>
      </c>
    </row>
    <row r="40" spans="1:20" x14ac:dyDescent="0.25">
      <c r="A40" s="380" t="s">
        <v>106</v>
      </c>
      <c r="O40" s="468" t="s">
        <v>105</v>
      </c>
      <c r="P40" s="469"/>
    </row>
    <row r="41" spans="1:20" x14ac:dyDescent="0.25">
      <c r="A41" s="354" t="s">
        <v>93</v>
      </c>
      <c r="B41" s="393">
        <v>4.5312174635553107E-2</v>
      </c>
      <c r="C41" s="393">
        <v>3.9432436610392127E-2</v>
      </c>
      <c r="D41" s="393">
        <v>2.6991531297681722E-2</v>
      </c>
      <c r="E41" s="393">
        <v>2.7220922805056905E-2</v>
      </c>
      <c r="F41" s="393">
        <v>5.3892389097312761E-2</v>
      </c>
      <c r="G41" s="393">
        <v>4.8949758658645266E-2</v>
      </c>
      <c r="H41" s="393">
        <v>5.77833117225139E-2</v>
      </c>
      <c r="I41" s="393">
        <v>1.8138872954585349E-2</v>
      </c>
      <c r="J41" s="393">
        <v>2.3347660505402303E-2</v>
      </c>
      <c r="K41" s="393">
        <v>3.1583533572345231E-2</v>
      </c>
      <c r="L41" s="393">
        <v>2.7072780803174389E-2</v>
      </c>
      <c r="M41" s="393">
        <v>1.7877522909908881E-2</v>
      </c>
      <c r="N41" s="393">
        <v>1.4523469020270772E-2</v>
      </c>
      <c r="O41" s="394">
        <v>2.1156113563079549E-2</v>
      </c>
      <c r="P41" s="395">
        <v>2.1267703692230969E-2</v>
      </c>
    </row>
    <row r="42" spans="1:20" x14ac:dyDescent="0.25">
      <c r="A42" s="356" t="s">
        <v>94</v>
      </c>
      <c r="B42" s="396">
        <v>5.9807321905491116E-2</v>
      </c>
      <c r="C42" s="396">
        <v>6.2359571936301671E-2</v>
      </c>
      <c r="D42" s="396">
        <v>3.9773708690149588E-2</v>
      </c>
      <c r="E42" s="396">
        <v>4.1872621846960625E-2</v>
      </c>
      <c r="F42" s="396">
        <v>7.9688487026982002E-2</v>
      </c>
      <c r="G42" s="396">
        <v>7.0001222491576587E-2</v>
      </c>
      <c r="H42" s="396">
        <v>8.1994887800479352E-2</v>
      </c>
      <c r="I42" s="396">
        <v>2.6960206732437757E-2</v>
      </c>
      <c r="J42" s="396">
        <v>3.4765067197101145E-2</v>
      </c>
      <c r="K42" s="396">
        <v>4.7222465831656436E-2</v>
      </c>
      <c r="L42" s="396">
        <v>4.0413989492903549E-2</v>
      </c>
      <c r="M42" s="396">
        <v>2.5151837164038647E-2</v>
      </c>
      <c r="N42" s="396">
        <v>2.0394803140350283E-2</v>
      </c>
      <c r="O42" s="394">
        <v>2.9837913836707679E-2</v>
      </c>
      <c r="P42" s="395">
        <v>2.9999509265102572E-2</v>
      </c>
    </row>
    <row r="43" spans="1:20" x14ac:dyDescent="0.25">
      <c r="A43" s="356" t="s">
        <v>95</v>
      </c>
      <c r="B43" s="396">
        <v>6.1459634167294039E-2</v>
      </c>
      <c r="C43" s="396">
        <v>7.6361994253913962E-2</v>
      </c>
      <c r="D43" s="396">
        <v>4.3300071462779449E-2</v>
      </c>
      <c r="E43" s="396">
        <v>4.667706074689023E-2</v>
      </c>
      <c r="F43" s="396">
        <v>8.85310363253939E-2</v>
      </c>
      <c r="G43" s="396">
        <v>7.7914422145142506E-2</v>
      </c>
      <c r="H43" s="396">
        <v>8.4207760200772433E-2</v>
      </c>
      <c r="I43" s="396">
        <v>3.0621467534179787E-2</v>
      </c>
      <c r="J43" s="396">
        <v>3.9482904030468752E-2</v>
      </c>
      <c r="K43" s="396">
        <v>5.2529233262674009E-2</v>
      </c>
      <c r="L43" s="396">
        <v>4.6495785156176271E-2</v>
      </c>
      <c r="M43" s="396">
        <v>2.7157179432654697E-2</v>
      </c>
      <c r="N43" s="396">
        <v>2.2522806745793645E-2</v>
      </c>
      <c r="O43" s="394">
        <v>3.2401183701939347E-2</v>
      </c>
      <c r="P43" s="395">
        <v>3.2581511656772498E-2</v>
      </c>
    </row>
    <row r="44" spans="1:20" x14ac:dyDescent="0.25">
      <c r="A44" s="358" t="s">
        <v>96</v>
      </c>
      <c r="B44" s="397">
        <v>5.6465268423716568E-2</v>
      </c>
      <c r="C44" s="397">
        <v>7.296561189424236E-2</v>
      </c>
      <c r="D44" s="397">
        <v>3.9668192570722204E-2</v>
      </c>
      <c r="E44" s="397">
        <v>4.4817282822527123E-2</v>
      </c>
      <c r="F44" s="397">
        <v>8.2237332522681159E-2</v>
      </c>
      <c r="G44" s="397">
        <v>7.3820169456146487E-2</v>
      </c>
      <c r="H44" s="397">
        <v>8.3045456670060622E-2</v>
      </c>
      <c r="I44" s="397">
        <v>3.0198805302745355E-2</v>
      </c>
      <c r="J44" s="397">
        <v>3.8937929094097649E-2</v>
      </c>
      <c r="K44" s="397">
        <v>5.1804182351199587E-2</v>
      </c>
      <c r="L44" s="397">
        <v>4.5497232459029147E-2</v>
      </c>
      <c r="M44" s="397">
        <v>2.6729320669830265E-2</v>
      </c>
      <c r="N44" s="397">
        <v>2.2039102484261278E-2</v>
      </c>
      <c r="O44" s="398">
        <v>3.1794170093917759E-2</v>
      </c>
      <c r="P44" s="399">
        <v>3.196633532180608E-2</v>
      </c>
    </row>
    <row r="45" spans="1:20" x14ac:dyDescent="0.25">
      <c r="A45" s="361" t="s">
        <v>97</v>
      </c>
      <c r="B45" s="362">
        <f>[1]Recap!$M$32</f>
        <v>1</v>
      </c>
      <c r="C45" s="362">
        <f>[2]Recap!$M$32</f>
        <v>1</v>
      </c>
      <c r="D45" s="362">
        <f>[3]Recap!$M$32</f>
        <v>2</v>
      </c>
      <c r="E45" s="362">
        <f>[4]Recap!$M$32</f>
        <v>2</v>
      </c>
      <c r="F45" s="362">
        <f>[5]Recap!$M$32</f>
        <v>2</v>
      </c>
      <c r="G45" s="362">
        <f>[6]Recap!$M$32</f>
        <v>1</v>
      </c>
      <c r="H45" s="362">
        <f>[7]Recap!$M$32</f>
        <v>1</v>
      </c>
      <c r="I45" s="362">
        <f>[8]Recap!$M$32</f>
        <v>1</v>
      </c>
      <c r="J45" s="362">
        <f>[9]Recap!$M$32</f>
        <v>1</v>
      </c>
      <c r="K45" s="362">
        <f>[10]Recap!$M$32</f>
        <v>1</v>
      </c>
      <c r="L45" s="362">
        <f>[11]Recap!$M$32</f>
        <v>1</v>
      </c>
      <c r="M45" s="362">
        <f>[12]Recap!$M$32</f>
        <v>1</v>
      </c>
      <c r="N45" s="362">
        <f>[13]Recap!$M$32</f>
        <v>2</v>
      </c>
      <c r="O45" s="362">
        <f>[14]Recap!$M$32</f>
        <v>1</v>
      </c>
      <c r="P45" s="362">
        <f>[15]Recap!$M$32</f>
        <v>1</v>
      </c>
    </row>
    <row r="46" spans="1:20" x14ac:dyDescent="0.25">
      <c r="A46" s="364" t="s">
        <v>107</v>
      </c>
      <c r="B46" s="392">
        <f>[1]Recap!$O$32</f>
        <v>4.4219372597348081E-2</v>
      </c>
      <c r="C46" s="392">
        <f>[2]Recap!$O$32</f>
        <v>3.8165991631462899E-2</v>
      </c>
      <c r="D46" s="392">
        <f>[3]Recap!$O$32</f>
        <v>3.4490450661006686E-2</v>
      </c>
      <c r="E46" s="392">
        <f>[4]Recap!$O$32</f>
        <v>4.0706189175490626E-2</v>
      </c>
      <c r="F46" s="392">
        <f>[5]Recap!$O$32</f>
        <v>7.3585424811004163E-2</v>
      </c>
      <c r="G46" s="392">
        <f>[6]Recap!$O$32</f>
        <v>5.0013214732891137E-2</v>
      </c>
      <c r="H46" s="392">
        <f>[7]Recap!$O$32</f>
        <v>6.025987791317549E-2</v>
      </c>
      <c r="I46" s="392">
        <f>[8]Recap!$O$32</f>
        <v>2.7005794284764847E-2</v>
      </c>
      <c r="J46" s="392">
        <f>[9]Recap!$O$32</f>
        <v>2.7933320708213603E-2</v>
      </c>
      <c r="K46" s="392">
        <f>[10]Recap!$O$32</f>
        <v>3.2787154720326943E-2</v>
      </c>
      <c r="L46" s="392">
        <f>[11]Recap!$O$32</f>
        <v>2.4220388328475402E-2</v>
      </c>
      <c r="M46" s="392">
        <f>[12]Recap!$O$32</f>
        <v>1.7639711853130943E-2</v>
      </c>
      <c r="N46" s="392">
        <f>[13]Recap!$O$32</f>
        <v>1.5687061541719536E-2</v>
      </c>
      <c r="O46" s="392">
        <f>[14]Recap!$O$32</f>
        <v>2.0579852973805508E-2</v>
      </c>
      <c r="P46" s="392">
        <f>[15]Recap!$O$32</f>
        <v>2.0649165616888156E-2</v>
      </c>
    </row>
  </sheetData>
  <mergeCells count="18">
    <mergeCell ref="O40:P40"/>
    <mergeCell ref="R33:S33"/>
    <mergeCell ref="R34:S34"/>
    <mergeCell ref="R35:S35"/>
    <mergeCell ref="R36:S36"/>
    <mergeCell ref="R37:S37"/>
    <mergeCell ref="R32:S32"/>
    <mergeCell ref="R22:S22"/>
    <mergeCell ref="T22:X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B24" sqref="B24:P24"/>
    </sheetView>
  </sheetViews>
  <sheetFormatPr baseColWidth="10" defaultRowHeight="15" x14ac:dyDescent="0.25"/>
  <cols>
    <col min="1" max="1" width="27.140625" customWidth="1"/>
    <col min="2" max="16" width="9.5703125" style="366" customWidth="1"/>
    <col min="17" max="17" width="4.5703125" customWidth="1"/>
  </cols>
  <sheetData>
    <row r="1" spans="1:17" ht="18.75" x14ac:dyDescent="0.3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4"/>
    </row>
    <row r="2" spans="1:17" ht="18.75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6"/>
    </row>
    <row r="3" spans="1:17" s="15" customFormat="1" ht="36" x14ac:dyDescent="0.2">
      <c r="A3" s="341" t="s">
        <v>87</v>
      </c>
      <c r="B3" s="342" t="s">
        <v>5</v>
      </c>
      <c r="C3" s="342" t="s">
        <v>6</v>
      </c>
      <c r="D3" s="342" t="s">
        <v>7</v>
      </c>
      <c r="E3" s="342" t="s">
        <v>8</v>
      </c>
      <c r="F3" s="342" t="s">
        <v>9</v>
      </c>
      <c r="G3" s="342" t="s">
        <v>10</v>
      </c>
      <c r="H3" s="342" t="s">
        <v>11</v>
      </c>
      <c r="I3" s="342" t="s">
        <v>12</v>
      </c>
      <c r="J3" s="342" t="s">
        <v>13</v>
      </c>
      <c r="K3" s="342" t="s">
        <v>88</v>
      </c>
      <c r="L3" s="342" t="s">
        <v>15</v>
      </c>
      <c r="M3" s="342" t="s">
        <v>16</v>
      </c>
      <c r="N3" s="342" t="s">
        <v>17</v>
      </c>
      <c r="O3" s="342" t="s">
        <v>18</v>
      </c>
      <c r="P3" s="342" t="s">
        <v>19</v>
      </c>
    </row>
    <row r="4" spans="1:17" x14ac:dyDescent="0.25">
      <c r="A4" s="385" t="s">
        <v>89</v>
      </c>
      <c r="B4" s="344">
        <f>SUM(Pertes!B23)/'Coeff''s perfo'!B23</f>
        <v>5.7827167950883522</v>
      </c>
      <c r="C4" s="344">
        <f>SUM(Pertes!C23)/'Coeff''s perfo'!C23</f>
        <v>2.2465550022563452</v>
      </c>
      <c r="D4" s="344">
        <f>SUM(Pertes!D23)/'Coeff''s perfo'!D23</f>
        <v>0.35190370507826274</v>
      </c>
      <c r="E4" s="344">
        <f>SUM(Pertes!E23)/'Coeff''s perfo'!E23</f>
        <v>0.11206873655003406</v>
      </c>
      <c r="F4" s="344">
        <f>SUM(Pertes!F23)/'Coeff''s perfo'!F23</f>
        <v>2.095978606870494</v>
      </c>
      <c r="G4" s="344">
        <f>SUM(Pertes!G23)/'Coeff''s perfo'!G23</f>
        <v>0.63890149177929156</v>
      </c>
      <c r="H4" s="344">
        <f>SUM(Pertes!H23)/'Coeff''s perfo'!H23</f>
        <v>12.314898542949765</v>
      </c>
      <c r="I4" s="344">
        <f>SUM(Pertes!I23)/'Coeff''s perfo'!I23</f>
        <v>4.2544654077068156</v>
      </c>
      <c r="J4" s="344">
        <f>SUM(Pertes!J23)/'Coeff''s perfo'!J23</f>
        <v>0.78850719383101486</v>
      </c>
      <c r="K4" s="344">
        <f>SUM(Pertes!K23)/'Coeff''s perfo'!K23</f>
        <v>4.061539667069345E-2</v>
      </c>
      <c r="L4" s="344">
        <f>SUM(Pertes!L23)/'Coeff''s perfo'!L23</f>
        <v>1.959544651942732E-2</v>
      </c>
      <c r="M4" s="344">
        <f>SUM(Pertes!M23)/'Coeff''s perfo'!M23</f>
        <v>0.16716899574118332</v>
      </c>
      <c r="N4" s="344">
        <f>SUM(Pertes!N23)/'Coeff''s perfo'!N23</f>
        <v>1.4052753730939343E-2</v>
      </c>
      <c r="O4" s="344">
        <f>SUM(Pertes!O23)/'Coeff''s perfo'!O23</f>
        <v>5.5067968554324352E-2</v>
      </c>
      <c r="P4" s="345">
        <f>SUM(Pertes!P23)/'Coeff''s perfo'!P23</f>
        <v>0.15835843313044612</v>
      </c>
    </row>
    <row r="5" spans="1:17" x14ac:dyDescent="0.25">
      <c r="A5" s="386" t="s">
        <v>90</v>
      </c>
      <c r="B5" s="347">
        <f>Pertes!B9/'Coeff''s perfo'!B23</f>
        <v>100.25001520718608</v>
      </c>
      <c r="C5" s="347">
        <f>Pertes!C9/'Coeff''s perfo'!C23</f>
        <v>88.41186609272151</v>
      </c>
      <c r="D5" s="347">
        <f>Pertes!D9/'Coeff''s perfo'!D23</f>
        <v>51.616634051048003</v>
      </c>
      <c r="E5" s="347">
        <f>Pertes!E9/'Coeff''s perfo'!E23</f>
        <v>52.428256371288406</v>
      </c>
      <c r="F5" s="347">
        <f>Pertes!F9/'Coeff''s perfo'!F23</f>
        <v>116.25189253343741</v>
      </c>
      <c r="G5" s="347">
        <f>Pertes!G9/'Coeff''s perfo'!G23</f>
        <v>109.26184838173023</v>
      </c>
      <c r="H5" s="347">
        <f>Pertes!H9/'Coeff''s perfo'!H23</f>
        <v>156.6043803674433</v>
      </c>
      <c r="I5" s="347">
        <f>Pertes!I9/'Coeff''s perfo'!I23</f>
        <v>39.384501249675907</v>
      </c>
      <c r="J5" s="347">
        <f>Pertes!J9/'Coeff''s perfo'!J23</f>
        <v>45.925381660765396</v>
      </c>
      <c r="K5" s="347">
        <f>Pertes!K9/'Coeff''s perfo'!K23</f>
        <v>57.354512913414538</v>
      </c>
      <c r="L5" s="347">
        <f>Pertes!L9/'Coeff''s perfo'!L23</f>
        <v>34.637585391285491</v>
      </c>
      <c r="M5" s="347">
        <f>Pertes!M9/'Coeff''s perfo'!M23</f>
        <v>25.368463032436274</v>
      </c>
      <c r="N5" s="347">
        <f>Pertes!N9/'Coeff''s perfo'!N23</f>
        <v>57.756064792336801</v>
      </c>
      <c r="O5" s="347">
        <f>Pertes!O9/'Coeff''s perfo'!O23</f>
        <v>27.308762743275217</v>
      </c>
      <c r="P5" s="348">
        <f>Pertes!P9/'Coeff''s perfo'!P23</f>
        <v>19.037252152479518</v>
      </c>
    </row>
    <row r="6" spans="1:17" x14ac:dyDescent="0.25">
      <c r="A6" s="387" t="s">
        <v>91</v>
      </c>
      <c r="B6" s="350">
        <f>[1]Recap!$L$38</f>
        <v>9.2374320811537389E-2</v>
      </c>
      <c r="C6" s="351">
        <f>[2]Recap!$L$38</f>
        <v>7.6966161784992645E-2</v>
      </c>
      <c r="D6" s="351">
        <f>[3]Recap!$L$38</f>
        <v>4.1728153322544911E-2</v>
      </c>
      <c r="E6" s="351">
        <f>[4]Recap!$L$38</f>
        <v>5.1744622120926613E-2</v>
      </c>
      <c r="F6" s="351">
        <f>[5]Recap!$L$38</f>
        <v>9.5363472841258151E-2</v>
      </c>
      <c r="G6" s="351">
        <f>[6]Recap!$L$38</f>
        <v>9.5265982743073477E-2</v>
      </c>
      <c r="H6" s="351">
        <f>[7]Recap!$L$38</f>
        <v>0.10287433262255685</v>
      </c>
      <c r="I6" s="351">
        <f>[8]Recap!$L$38</f>
        <v>7.8261019105572857E-2</v>
      </c>
      <c r="J6" s="351">
        <f>[9]Recap!$L$38</f>
        <v>7.7380301204591356E-2</v>
      </c>
      <c r="K6" s="351">
        <f>[10]Recap!$L$38</f>
        <v>0.1076176218294741</v>
      </c>
      <c r="L6" s="351">
        <f>[11]Recap!$L$37</f>
        <v>3.6006653894440396E-2</v>
      </c>
      <c r="M6" s="351">
        <f>[12]Recap!$L$37</f>
        <v>4.5103415520396845E-2</v>
      </c>
      <c r="N6" s="351"/>
      <c r="O6" s="351"/>
      <c r="P6" s="352"/>
    </row>
    <row r="22" spans="1:24" s="15" customFormat="1" ht="48" x14ac:dyDescent="0.25">
      <c r="A22" s="384" t="s">
        <v>104</v>
      </c>
      <c r="B22" s="342" t="s">
        <v>5</v>
      </c>
      <c r="C22" s="342" t="s">
        <v>6</v>
      </c>
      <c r="D22" s="342" t="s">
        <v>7</v>
      </c>
      <c r="E22" s="342" t="s">
        <v>8</v>
      </c>
      <c r="F22" s="342" t="s">
        <v>9</v>
      </c>
      <c r="G22" s="342" t="s">
        <v>10</v>
      </c>
      <c r="H22" s="342" t="s">
        <v>11</v>
      </c>
      <c r="I22" s="342" t="s">
        <v>12</v>
      </c>
      <c r="J22" s="342" t="s">
        <v>13</v>
      </c>
      <c r="K22" s="342" t="s">
        <v>92</v>
      </c>
      <c r="L22" s="342" t="s">
        <v>15</v>
      </c>
      <c r="M22" s="342" t="s">
        <v>16</v>
      </c>
      <c r="N22" s="342" t="s">
        <v>17</v>
      </c>
      <c r="O22" s="342" t="s">
        <v>18</v>
      </c>
      <c r="P22" s="342" t="s">
        <v>19</v>
      </c>
      <c r="Q22"/>
      <c r="R22" s="462" t="s">
        <v>24</v>
      </c>
      <c r="S22" s="463"/>
      <c r="T22" s="464" t="s">
        <v>25</v>
      </c>
      <c r="U22" s="465"/>
      <c r="V22" s="465"/>
      <c r="W22" s="465"/>
      <c r="X22" s="465"/>
    </row>
    <row r="23" spans="1:24" x14ac:dyDescent="0.25">
      <c r="A23" s="380" t="s">
        <v>106</v>
      </c>
      <c r="O23" s="468" t="s">
        <v>105</v>
      </c>
      <c r="P23" s="469"/>
      <c r="R23" s="460" t="s">
        <v>27</v>
      </c>
      <c r="S23" s="461"/>
      <c r="T23" s="353" t="str">
        <f>'Réglages pertes'!U31</f>
        <v>Quelques pertes végétation; Taux de salissure assez fort augmente en 2022</v>
      </c>
    </row>
    <row r="24" spans="1:24" x14ac:dyDescent="0.25">
      <c r="A24" s="354" t="s">
        <v>93</v>
      </c>
      <c r="B24" s="355">
        <v>304.47624287295417</v>
      </c>
      <c r="C24" s="355">
        <v>397.98196152094204</v>
      </c>
      <c r="D24" s="355">
        <v>372.28690427170903</v>
      </c>
      <c r="E24" s="355">
        <v>440.13087818555312</v>
      </c>
      <c r="F24" s="355">
        <v>660.23657704840889</v>
      </c>
      <c r="G24" s="355">
        <v>506.67295243287674</v>
      </c>
      <c r="H24" s="355">
        <v>579.82513765409738</v>
      </c>
      <c r="I24" s="355">
        <v>299.09266016274648</v>
      </c>
      <c r="J24" s="355">
        <v>139.87849069568134</v>
      </c>
      <c r="K24" s="355">
        <v>369.09271245972332</v>
      </c>
      <c r="L24" s="355">
        <v>1123.4941682167303</v>
      </c>
      <c r="M24" s="355">
        <v>805.3477136776695</v>
      </c>
      <c r="N24" s="355">
        <v>673.39346106514847</v>
      </c>
      <c r="O24" s="388">
        <v>939.10004379462282</v>
      </c>
      <c r="P24" s="382">
        <v>231.51997830190507</v>
      </c>
      <c r="R24" s="460" t="s">
        <v>29</v>
      </c>
      <c r="S24" s="461" t="s">
        <v>29</v>
      </c>
      <c r="T24" s="353" t="str">
        <f>'Réglages pertes'!U32</f>
        <v>Taux de salissure assez faible augmente en 2022</v>
      </c>
    </row>
    <row r="25" spans="1:24" x14ac:dyDescent="0.25">
      <c r="A25" s="400" t="s">
        <v>94</v>
      </c>
      <c r="B25" s="357">
        <v>406.14784397678886</v>
      </c>
      <c r="C25" s="347">
        <v>630.2523492478756</v>
      </c>
      <c r="D25" s="347">
        <v>424.09237547474686</v>
      </c>
      <c r="E25" s="347">
        <v>449.05424587910392</v>
      </c>
      <c r="F25" s="347">
        <v>688.37379999128234</v>
      </c>
      <c r="G25" s="347">
        <v>693.83095899541468</v>
      </c>
      <c r="H25" s="357">
        <v>832.8645423455738</v>
      </c>
      <c r="I25" s="347">
        <v>306.15808387872084</v>
      </c>
      <c r="J25" s="347">
        <v>386.65641807049695</v>
      </c>
      <c r="K25" s="347">
        <v>520.26601506979546</v>
      </c>
      <c r="L25" s="347">
        <v>1874.8213214735852</v>
      </c>
      <c r="M25" s="347">
        <v>1149.4476653143772</v>
      </c>
      <c r="N25" s="347">
        <v>882.04684925671052</v>
      </c>
      <c r="O25" s="388">
        <v>1340.8119443946587</v>
      </c>
      <c r="P25" s="382">
        <v>326.98201496264647</v>
      </c>
      <c r="R25" s="460" t="s">
        <v>31</v>
      </c>
      <c r="S25" s="461" t="s">
        <v>31</v>
      </c>
      <c r="T25" s="353" t="str">
        <f>'Réglages pertes'!U33</f>
        <v>Taux de salissure assez faible augmente en 2022</v>
      </c>
    </row>
    <row r="26" spans="1:24" x14ac:dyDescent="0.25">
      <c r="A26" s="356" t="s">
        <v>95</v>
      </c>
      <c r="B26" s="357">
        <v>417.50458880240706</v>
      </c>
      <c r="C26" s="391">
        <v>771.77127387825226</v>
      </c>
      <c r="D26" s="357">
        <v>461.69268015542883</v>
      </c>
      <c r="E26" s="357">
        <v>500.57845410674616</v>
      </c>
      <c r="F26" s="391">
        <v>764.75847598716405</v>
      </c>
      <c r="G26" s="391">
        <v>774.27178513546403</v>
      </c>
      <c r="H26" s="391">
        <v>855.34183341064522</v>
      </c>
      <c r="I26" s="357">
        <v>339.96999411002605</v>
      </c>
      <c r="J26" s="357">
        <v>439.21629392554672</v>
      </c>
      <c r="K26" s="357">
        <v>584.85920880445622</v>
      </c>
      <c r="L26" s="357">
        <v>2078.8789989888533</v>
      </c>
      <c r="M26" s="357">
        <v>1217.4727773009772</v>
      </c>
      <c r="N26" s="357">
        <v>974.08004332440282</v>
      </c>
      <c r="O26" s="389">
        <v>1419.0438730030526</v>
      </c>
      <c r="P26" s="381">
        <v>346.33513229161952</v>
      </c>
      <c r="R26" s="460" t="s">
        <v>32</v>
      </c>
      <c r="S26" s="461" t="s">
        <v>32</v>
      </c>
      <c r="T26" s="353" t="str">
        <f>'Réglages pertes'!U34</f>
        <v>Faible taux de pertes PV et de salissure</v>
      </c>
    </row>
    <row r="27" spans="1:24" x14ac:dyDescent="0.25">
      <c r="A27" s="358" t="s">
        <v>96</v>
      </c>
      <c r="B27" s="359">
        <v>383.5771070600772</v>
      </c>
      <c r="C27" s="359">
        <v>737.44490032146132</v>
      </c>
      <c r="D27" s="359">
        <v>422.96729603879476</v>
      </c>
      <c r="E27" s="359">
        <v>480.63365159641324</v>
      </c>
      <c r="F27" s="359">
        <v>710.39151578592407</v>
      </c>
      <c r="G27" s="359">
        <v>733.58529538136838</v>
      </c>
      <c r="H27" s="359">
        <v>834.1454428798412</v>
      </c>
      <c r="I27" s="359">
        <v>331.54513228001707</v>
      </c>
      <c r="J27" s="359">
        <v>428.33199044606437</v>
      </c>
      <c r="K27" s="359">
        <v>570.36570023148704</v>
      </c>
      <c r="L27" s="359">
        <v>2034.2325815875743</v>
      </c>
      <c r="M27" s="359">
        <v>1194.2664930829749</v>
      </c>
      <c r="N27" s="359">
        <v>953.16050725824891</v>
      </c>
      <c r="O27" s="390">
        <v>1389.6436316174281</v>
      </c>
      <c r="P27" s="383">
        <v>338.89717034937098</v>
      </c>
      <c r="R27" s="460" t="s">
        <v>34</v>
      </c>
      <c r="S27" s="461" t="s">
        <v>34</v>
      </c>
      <c r="T27" s="360" t="str">
        <f>'Réglages pertes'!U35</f>
        <v>Fort taux de perte PV + 1/3 module; salissures assez fortes: 2eme position</v>
      </c>
    </row>
    <row r="28" spans="1:24" s="363" customFormat="1" x14ac:dyDescent="0.25">
      <c r="A28" s="361" t="s">
        <v>97</v>
      </c>
      <c r="B28" s="362">
        <f>[1]Recap!$M$32</f>
        <v>1</v>
      </c>
      <c r="C28" s="362">
        <f>[2]Recap!$M$32</f>
        <v>1</v>
      </c>
      <c r="D28" s="362">
        <f>[3]Recap!$M$32</f>
        <v>2</v>
      </c>
      <c r="E28" s="362">
        <f>[4]Recap!$M$32</f>
        <v>2</v>
      </c>
      <c r="F28" s="362">
        <f>[5]Recap!$M$32</f>
        <v>2</v>
      </c>
      <c r="G28" s="362">
        <f>[6]Recap!$M$32</f>
        <v>1</v>
      </c>
      <c r="H28" s="362">
        <f>[7]Recap!$M$32</f>
        <v>1</v>
      </c>
      <c r="I28" s="362">
        <f>[8]Recap!$M$32</f>
        <v>1</v>
      </c>
      <c r="J28" s="362">
        <f>[9]Recap!$M$32</f>
        <v>1</v>
      </c>
      <c r="K28" s="362">
        <f>[10]Recap!$M$32</f>
        <v>1</v>
      </c>
      <c r="L28" s="362">
        <f>[11]Recap!$M$32</f>
        <v>1</v>
      </c>
      <c r="M28" s="362">
        <f>[12]Recap!$M$32</f>
        <v>1</v>
      </c>
      <c r="N28" s="362">
        <f>[13]Recap!$M$32</f>
        <v>2</v>
      </c>
      <c r="O28" s="362">
        <f>[14]Recap!$M$32</f>
        <v>1</v>
      </c>
      <c r="P28" s="362">
        <f>[15]Recap!$M$32</f>
        <v>1</v>
      </c>
      <c r="R28" s="460" t="s">
        <v>36</v>
      </c>
      <c r="S28" s="461" t="s">
        <v>36</v>
      </c>
      <c r="T28" s="353" t="str">
        <f>'Réglages pertes'!U36</f>
        <v>RAS</v>
      </c>
    </row>
    <row r="29" spans="1:24" x14ac:dyDescent="0.25">
      <c r="A29" s="364" t="s">
        <v>107</v>
      </c>
      <c r="B29" s="365">
        <f>[1]Recap!$N$32</f>
        <v>304.47624287295417</v>
      </c>
      <c r="C29" s="365">
        <f>[2]Recap!$N$32</f>
        <v>397.98196152094204</v>
      </c>
      <c r="D29" s="365">
        <f>[3]Recap!$N$32</f>
        <v>372.28690427170903</v>
      </c>
      <c r="E29" s="365">
        <f>[4]Recap!$N$32</f>
        <v>440.13087818555312</v>
      </c>
      <c r="F29" s="365">
        <f>[5]Recap!$N$32</f>
        <v>660.23657704840889</v>
      </c>
      <c r="G29" s="365">
        <f>[6]Recap!$N$32</f>
        <v>506.67295243287674</v>
      </c>
      <c r="H29" s="365">
        <f>[7]Recap!$N$32</f>
        <v>579.82513765409738</v>
      </c>
      <c r="I29" s="365">
        <f>[8]Recap!$N$32</f>
        <v>299.09266016274648</v>
      </c>
      <c r="J29" s="365">
        <f>[9]Recap!$N$32</f>
        <v>139.87849069568134</v>
      </c>
      <c r="K29" s="365">
        <f>[10]Recap!$N$32</f>
        <v>369.09271245972332</v>
      </c>
      <c r="L29" s="365">
        <f>[11]Recap!$N$32</f>
        <v>1123.4941682167303</v>
      </c>
      <c r="M29" s="365">
        <f>[12]Recap!$N$32</f>
        <v>805.3477136776695</v>
      </c>
      <c r="N29" s="365">
        <f>[13]Recap!$N$32</f>
        <v>673.39346106514847</v>
      </c>
      <c r="O29" s="365">
        <f>[14]Recap!$N$32</f>
        <v>939.10004379462282</v>
      </c>
      <c r="P29" s="365">
        <f>[15]Recap!$N$32</f>
        <v>231.51997830190507</v>
      </c>
      <c r="R29" s="460" t="s">
        <v>38</v>
      </c>
      <c r="S29" s="461" t="s">
        <v>38</v>
      </c>
      <c r="T29" s="360" t="str">
        <f>'Réglages pertes'!U37</f>
        <v>Taux PV salissure et végétation sont les plus élevés!</v>
      </c>
    </row>
    <row r="30" spans="1:24" x14ac:dyDescent="0.25">
      <c r="A30" s="354" t="s">
        <v>93</v>
      </c>
      <c r="B30" s="444">
        <f>B24*'Gain action'!S$3</f>
        <v>72.252212433752035</v>
      </c>
      <c r="C30" s="444">
        <f>C24*'Gain action'!T$3</f>
        <v>94.441119468919553</v>
      </c>
      <c r="D30" s="444">
        <f>D24*'Gain action'!U$3</f>
        <v>88.343682383676551</v>
      </c>
      <c r="E30" s="444">
        <f>E24*'Gain action'!V$3</f>
        <v>104.44305739343176</v>
      </c>
      <c r="F30" s="444">
        <f>F24*'Gain action'!W$3</f>
        <v>156.67413973358742</v>
      </c>
      <c r="G30" s="444">
        <f>G24*'Gain action'!X$3</f>
        <v>120.23349161232166</v>
      </c>
      <c r="H30" s="444">
        <f>H24*'Gain action'!Y$3</f>
        <v>137.59250516531731</v>
      </c>
      <c r="I30" s="444">
        <f>I24*'Gain action'!Z$3</f>
        <v>58.711889189947136</v>
      </c>
      <c r="J30" s="444">
        <f>J24*'Gain action'!AA$3</f>
        <v>27.458147723562245</v>
      </c>
      <c r="K30" s="444">
        <f>K24*'Gain action'!AB$3</f>
        <v>72.452899455843692</v>
      </c>
      <c r="L30" s="444">
        <f>L24*'Gain action'!AC$3</f>
        <v>135.60574610375934</v>
      </c>
      <c r="M30" s="444">
        <f>M24*'Gain action'!AD$3</f>
        <v>97.205469040894712</v>
      </c>
      <c r="N30" s="444">
        <f>N24*'Gain action'!AE$3</f>
        <v>81.278590750563424</v>
      </c>
      <c r="O30" s="445">
        <f>O24*'Gain action'!AF$3</f>
        <v>106.58785497068969</v>
      </c>
      <c r="P30" s="446">
        <f>P24*'Gain action'!AG$3</f>
        <v>35.214188699719763</v>
      </c>
      <c r="R30" s="460" t="s">
        <v>40</v>
      </c>
      <c r="S30" s="461" t="s">
        <v>40</v>
      </c>
      <c r="T30" s="353" t="str">
        <f>'Réglages pertes'!U38</f>
        <v>Augmentation salissures depuis 2021 effacé par nettoyage 22</v>
      </c>
    </row>
    <row r="31" spans="1:24" x14ac:dyDescent="0.25">
      <c r="A31" s="400" t="s">
        <v>94</v>
      </c>
      <c r="B31" s="447">
        <f>B25*'Gain action'!S$3</f>
        <v>96.378883375691998</v>
      </c>
      <c r="C31" s="448">
        <f>C25*'Gain action'!T$3</f>
        <v>149.55888247652089</v>
      </c>
      <c r="D31" s="448">
        <f>D25*'Gain action'!U$3</f>
        <v>100.63712070015744</v>
      </c>
      <c r="E31" s="448">
        <f>E25*'Gain action'!V$3</f>
        <v>106.56057254711136</v>
      </c>
      <c r="F31" s="448">
        <f>F25*'Gain action'!W$3</f>
        <v>163.35110273793131</v>
      </c>
      <c r="G31" s="448">
        <f>G25*'Gain action'!X$3</f>
        <v>164.64608656961192</v>
      </c>
      <c r="H31" s="447">
        <f>H25*'Gain action'!Y$3</f>
        <v>197.63875589860467</v>
      </c>
      <c r="I31" s="448">
        <f>I25*'Gain action'!Z$3</f>
        <v>60.098831865392903</v>
      </c>
      <c r="J31" s="448">
        <f>J25*'Gain action'!AA$3</f>
        <v>75.900654867238558</v>
      </c>
      <c r="K31" s="448">
        <f>K25*'Gain action'!AB$3</f>
        <v>102.12821875820084</v>
      </c>
      <c r="L31" s="448">
        <f>L25*'Gain action'!AC$3</f>
        <v>226.29093350186173</v>
      </c>
      <c r="M31" s="448">
        <f>M25*'Gain action'!AD$3</f>
        <v>138.73833320344534</v>
      </c>
      <c r="N31" s="448">
        <f>N25*'Gain action'!AE$3</f>
        <v>106.46305470528496</v>
      </c>
      <c r="O31" s="445">
        <f>O25*'Gain action'!AF$3</f>
        <v>152.18215568879376</v>
      </c>
      <c r="P31" s="446">
        <f>P25*'Gain action'!AG$3</f>
        <v>49.733964475818532</v>
      </c>
      <c r="R31" s="460" t="s">
        <v>42</v>
      </c>
      <c r="S31" s="461" t="s">
        <v>42</v>
      </c>
      <c r="T31" s="353" t="str">
        <f>'Réglages pertes'!U39</f>
        <v>Légère augmentation taux de salissure en 2022 effacé par nettoyage 22</v>
      </c>
    </row>
    <row r="32" spans="1:24" x14ac:dyDescent="0.25">
      <c r="A32" s="356" t="s">
        <v>95</v>
      </c>
      <c r="B32" s="447">
        <f>B26*'Gain action'!S$3</f>
        <v>99.073838922811206</v>
      </c>
      <c r="C32" s="447">
        <f>C26*'Gain action'!T$3</f>
        <v>183.14132329130928</v>
      </c>
      <c r="D32" s="447">
        <f>D26*'Gain action'!U$3</f>
        <v>109.55967300088327</v>
      </c>
      <c r="E32" s="447">
        <f>E26*'Gain action'!V$3</f>
        <v>118.78726715953087</v>
      </c>
      <c r="F32" s="447">
        <f>F26*'Gain action'!W$3</f>
        <v>181.47718635175403</v>
      </c>
      <c r="G32" s="447">
        <f>G26*'Gain action'!X$3</f>
        <v>183.73469461264563</v>
      </c>
      <c r="H32" s="447">
        <f>H26*'Gain action'!Y$3</f>
        <v>202.97261706834612</v>
      </c>
      <c r="I32" s="447">
        <f>I26*'Gain action'!Z$3</f>
        <v>66.736109843798118</v>
      </c>
      <c r="J32" s="447">
        <f>J26*'Gain action'!AA$3</f>
        <v>86.218158497584824</v>
      </c>
      <c r="K32" s="447">
        <f>K26*'Gain action'!AB$3</f>
        <v>114.80786268831476</v>
      </c>
      <c r="L32" s="447">
        <f>L26*'Gain action'!AC$3</f>
        <v>250.9206951779546</v>
      </c>
      <c r="M32" s="447">
        <f>M26*'Gain action'!AD$3</f>
        <v>146.94896422022796</v>
      </c>
      <c r="N32" s="447">
        <f>N26*'Gain action'!AE$3</f>
        <v>117.57146122925542</v>
      </c>
      <c r="O32" s="449">
        <f>O26*'Gain action'!AF$3</f>
        <v>161.06147958584648</v>
      </c>
      <c r="P32" s="450">
        <f>P26*'Gain action'!AG$3</f>
        <v>52.677573621555332</v>
      </c>
      <c r="R32" s="460" t="s">
        <v>44</v>
      </c>
      <c r="S32" s="461" t="s">
        <v>45</v>
      </c>
      <c r="T32" s="353" t="str">
        <f>'Réglages pertes'!U40</f>
        <v>Forte augmentation salissures en 2021-22  effacé par nettoyage 22</v>
      </c>
    </row>
    <row r="33" spans="1:20" x14ac:dyDescent="0.25">
      <c r="A33" s="358" t="s">
        <v>96</v>
      </c>
      <c r="B33" s="451">
        <f>B27*'Gain action'!S$3</f>
        <v>91.022847505356324</v>
      </c>
      <c r="C33" s="451">
        <f>C27*'Gain action'!T$3</f>
        <v>174.99567484628278</v>
      </c>
      <c r="D33" s="451">
        <f>D27*'Gain action'!U$3</f>
        <v>100.370139350006</v>
      </c>
      <c r="E33" s="451">
        <f>E27*'Gain action'!V$3</f>
        <v>114.05436552382886</v>
      </c>
      <c r="F33" s="451">
        <f>F27*'Gain action'!W$3</f>
        <v>168.57590669599978</v>
      </c>
      <c r="G33" s="451">
        <f>G27*'Gain action'!X$3</f>
        <v>174.07979059399872</v>
      </c>
      <c r="H33" s="451">
        <f>H27*'Gain action'!Y$3</f>
        <v>197.94271359538632</v>
      </c>
      <c r="I33" s="451">
        <f>I27*'Gain action'!Z$3</f>
        <v>65.082309466567352</v>
      </c>
      <c r="J33" s="451">
        <f>J27*'Gain action'!AA$3</f>
        <v>84.081569724562442</v>
      </c>
      <c r="K33" s="451">
        <f>K27*'Gain action'!AB$3</f>
        <v>111.9627869554409</v>
      </c>
      <c r="L33" s="451">
        <f>L27*'Gain action'!AC$3</f>
        <v>245.53187259762021</v>
      </c>
      <c r="M33" s="451">
        <f>M27*'Gain action'!AD$3</f>
        <v>144.14796571511508</v>
      </c>
      <c r="N33" s="451">
        <f>N27*'Gain action'!AE$3</f>
        <v>115.04647322607065</v>
      </c>
      <c r="O33" s="452">
        <f>O27*'Gain action'!AF$3</f>
        <v>157.72455218857809</v>
      </c>
      <c r="P33" s="453">
        <f>P27*'Gain action'!AG$3</f>
        <v>51.54625961013933</v>
      </c>
      <c r="R33" s="460" t="s">
        <v>47</v>
      </c>
      <c r="S33" s="461" t="s">
        <v>47</v>
      </c>
      <c r="T33" s="353" t="str">
        <f>'Réglages pertes'!U41</f>
        <v>Augmentation taux de salissure en 2022 effacé par nettoyage 22</v>
      </c>
    </row>
    <row r="34" spans="1:20" x14ac:dyDescent="0.25">
      <c r="R34" s="460" t="s">
        <v>49</v>
      </c>
      <c r="S34" s="461" t="s">
        <v>49</v>
      </c>
      <c r="T34" s="353" t="str">
        <f>'Réglages pertes'!U42</f>
        <v>Fort taux de salissure en 2021-22 effacé par nettoyage 22</v>
      </c>
    </row>
    <row r="35" spans="1:20" x14ac:dyDescent="0.25">
      <c r="R35" s="460" t="s">
        <v>51</v>
      </c>
      <c r="S35" s="461" t="s">
        <v>51</v>
      </c>
      <c r="T35" s="353" t="str">
        <f>'Réglages pertes'!U43</f>
        <v>Taux de salissure initialement le plus faible augmente en 2022</v>
      </c>
    </row>
  </sheetData>
  <mergeCells count="16">
    <mergeCell ref="R22:S22"/>
    <mergeCell ref="T22:X22"/>
    <mergeCell ref="R23:S23"/>
    <mergeCell ref="R24:S24"/>
    <mergeCell ref="R25:S25"/>
    <mergeCell ref="O23:P23"/>
    <mergeCell ref="R33:S33"/>
    <mergeCell ref="R34:S34"/>
    <mergeCell ref="R35:S35"/>
    <mergeCell ref="R27:S27"/>
    <mergeCell ref="R28:S28"/>
    <mergeCell ref="R29:S29"/>
    <mergeCell ref="R30:S30"/>
    <mergeCell ref="R31:S31"/>
    <mergeCell ref="R32:S32"/>
    <mergeCell ref="R26:S26"/>
  </mergeCells>
  <conditionalFormatting sqref="B30:K33 P30:P33">
    <cfRule type="expression" dxfId="106" priority="2">
      <formula>B30&gt;110</formula>
    </cfRule>
  </conditionalFormatting>
  <conditionalFormatting sqref="L30:O33">
    <cfRule type="expression" dxfId="105" priority="1">
      <formula>L30&gt;144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9"/>
  <sheetViews>
    <sheetView workbookViewId="0"/>
  </sheetViews>
  <sheetFormatPr baseColWidth="10" defaultRowHeight="15" x14ac:dyDescent="0.25"/>
  <cols>
    <col min="1" max="1" width="9.5703125" customWidth="1"/>
    <col min="2" max="16" width="8.42578125" customWidth="1"/>
    <col min="17" max="17" width="6.42578125" style="269" customWidth="1"/>
    <col min="18" max="18" width="1.42578125" style="4" customWidth="1"/>
    <col min="19" max="19" width="6.85546875" style="273" customWidth="1"/>
    <col min="20" max="20" width="8.28515625" customWidth="1"/>
    <col min="21" max="35" width="8.42578125" style="272" customWidth="1"/>
  </cols>
  <sheetData>
    <row r="1" spans="1:35" ht="18.75" x14ac:dyDescent="0.3">
      <c r="A1" s="1" t="s">
        <v>71</v>
      </c>
      <c r="S1" s="270" t="s">
        <v>72</v>
      </c>
      <c r="T1" s="271">
        <v>15</v>
      </c>
    </row>
    <row r="3" spans="1:35" ht="33.75" x14ac:dyDescent="0.25">
      <c r="A3" s="274" t="s">
        <v>73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T3" s="275" t="s">
        <v>73</v>
      </c>
      <c r="U3" s="12" t="s">
        <v>5</v>
      </c>
      <c r="V3" s="12" t="s">
        <v>6</v>
      </c>
      <c r="W3" s="12" t="s">
        <v>7</v>
      </c>
      <c r="X3" s="12" t="s">
        <v>8</v>
      </c>
      <c r="Y3" s="12" t="s">
        <v>9</v>
      </c>
      <c r="Z3" s="12" t="s">
        <v>10</v>
      </c>
      <c r="AA3" s="12" t="s">
        <v>11</v>
      </c>
      <c r="AB3" s="12" t="s">
        <v>12</v>
      </c>
      <c r="AC3" s="12" t="s">
        <v>13</v>
      </c>
      <c r="AD3" s="12" t="s">
        <v>14</v>
      </c>
      <c r="AE3" s="12" t="s">
        <v>15</v>
      </c>
      <c r="AF3" s="12" t="s">
        <v>16</v>
      </c>
      <c r="AG3" s="12" t="s">
        <v>17</v>
      </c>
      <c r="AH3" s="12" t="s">
        <v>18</v>
      </c>
      <c r="AI3" s="12" t="s">
        <v>19</v>
      </c>
    </row>
    <row r="4" spans="1:35" s="272" customFormat="1" ht="11.25" x14ac:dyDescent="0.2">
      <c r="A4" s="276" t="s">
        <v>74</v>
      </c>
      <c r="B4" s="277">
        <f t="shared" ref="B4:P4" si="0">+MIN(B8:B19)</f>
        <v>0.70839375827997653</v>
      </c>
      <c r="C4" s="277">
        <f t="shared" si="0"/>
        <v>0.90057185341568324</v>
      </c>
      <c r="D4" s="277">
        <f>+MIN(D8:D19)</f>
        <v>0.93567266755701928</v>
      </c>
      <c r="E4" s="277">
        <f t="shared" si="0"/>
        <v>0.99105866745925342</v>
      </c>
      <c r="F4" s="277">
        <f t="shared" si="0"/>
        <v>0.63149542381510937</v>
      </c>
      <c r="G4" s="277">
        <f t="shared" si="0"/>
        <v>0.75844055184706283</v>
      </c>
      <c r="H4" s="277">
        <f t="shared" si="0"/>
        <v>0.68271114301959734</v>
      </c>
      <c r="I4" s="277">
        <f t="shared" si="0"/>
        <v>0.96563589521266624</v>
      </c>
      <c r="J4" s="277">
        <f t="shared" si="0"/>
        <v>1.0057301176396942</v>
      </c>
      <c r="K4" s="277">
        <f t="shared" si="0"/>
        <v>0.98589047375623828</v>
      </c>
      <c r="L4" s="277">
        <f t="shared" si="0"/>
        <v>1.0367665049546859</v>
      </c>
      <c r="M4" s="277">
        <f t="shared" si="0"/>
        <v>1.0193379385347998</v>
      </c>
      <c r="N4" s="278">
        <f t="shared" si="0"/>
        <v>1.0804618782969904</v>
      </c>
      <c r="O4" s="278">
        <f t="shared" si="0"/>
        <v>1.0245154684347726</v>
      </c>
      <c r="P4" s="278">
        <f t="shared" si="0"/>
        <v>0.78484090587362754</v>
      </c>
      <c r="Q4" s="279"/>
      <c r="T4" s="280" t="s">
        <v>74</v>
      </c>
      <c r="U4" s="281">
        <f t="shared" ref="U4:AI4" si="1">+MIN(U8:U19)</f>
        <v>1.7336989716275146</v>
      </c>
      <c r="V4" s="281">
        <f t="shared" si="1"/>
        <v>2.6439990622971727</v>
      </c>
      <c r="W4" s="281">
        <f>+MIN(W8:W19)</f>
        <v>2.6056088428202466</v>
      </c>
      <c r="X4" s="281">
        <f t="shared" si="1"/>
        <v>2.5495610585938944</v>
      </c>
      <c r="Y4" s="281">
        <f t="shared" si="1"/>
        <v>1.5956184462332559</v>
      </c>
      <c r="Z4" s="281">
        <f t="shared" si="1"/>
        <v>1.8641624189385739</v>
      </c>
      <c r="AA4" s="281">
        <f t="shared" si="1"/>
        <v>1.6737668030689588</v>
      </c>
      <c r="AB4" s="281">
        <f t="shared" si="1"/>
        <v>2.7205153444219055</v>
      </c>
      <c r="AC4" s="281">
        <f t="shared" si="1"/>
        <v>2.5777020953999492</v>
      </c>
      <c r="AD4" s="281">
        <f t="shared" si="1"/>
        <v>2.9581037863221691</v>
      </c>
      <c r="AE4" s="281">
        <f t="shared" si="1"/>
        <v>2.7550375107952818</v>
      </c>
      <c r="AF4" s="281">
        <f t="shared" si="1"/>
        <v>2.8371503789140773</v>
      </c>
      <c r="AG4" s="281">
        <f t="shared" si="1"/>
        <v>2.9319152759041005</v>
      </c>
      <c r="AH4" s="281">
        <f t="shared" si="1"/>
        <v>2.6391249925482336</v>
      </c>
      <c r="AI4" s="281">
        <f t="shared" si="1"/>
        <v>1.9108614027620487</v>
      </c>
    </row>
    <row r="5" spans="1:35" s="272" customFormat="1" ht="11.25" x14ac:dyDescent="0.2">
      <c r="A5" s="282" t="s">
        <v>75</v>
      </c>
      <c r="B5" s="277">
        <f t="shared" ref="B5:P5" si="2">+AVERAGE(B8:B19)</f>
        <v>0.92360948868658965</v>
      </c>
      <c r="C5" s="277">
        <f t="shared" si="2"/>
        <v>0.99279795351168731</v>
      </c>
      <c r="D5" s="277">
        <f>+AVERAGE(D8:D19)</f>
        <v>1.0127054582908281</v>
      </c>
      <c r="E5" s="277">
        <f t="shared" si="2"/>
        <v>1.0168413822246902</v>
      </c>
      <c r="F5" s="277">
        <f t="shared" si="2"/>
        <v>0.78421343076204131</v>
      </c>
      <c r="G5" s="277">
        <f t="shared" si="2"/>
        <v>0.87340250234428651</v>
      </c>
      <c r="H5" s="277">
        <f t="shared" si="2"/>
        <v>0.86009213378732985</v>
      </c>
      <c r="I5" s="277">
        <f t="shared" si="2"/>
        <v>1.0513944768896348</v>
      </c>
      <c r="J5" s="277">
        <f t="shared" si="2"/>
        <v>1.0437014872664672</v>
      </c>
      <c r="K5" s="277">
        <f t="shared" si="2"/>
        <v>1.1018111387744556</v>
      </c>
      <c r="L5" s="277">
        <f t="shared" si="2"/>
        <v>1.0809521012637793</v>
      </c>
      <c r="M5" s="277">
        <f t="shared" si="2"/>
        <v>1.0971710945860729</v>
      </c>
      <c r="N5" s="278">
        <f t="shared" si="2"/>
        <v>1.1463760841046244</v>
      </c>
      <c r="O5" s="278">
        <f t="shared" si="2"/>
        <v>1.0692645570920574</v>
      </c>
      <c r="P5" s="278">
        <f t="shared" si="2"/>
        <v>0.96110332308660906</v>
      </c>
      <c r="Q5" s="279"/>
      <c r="T5" s="283" t="s">
        <v>75</v>
      </c>
      <c r="U5" s="281">
        <f t="shared" ref="U5:AI5" si="3">+AVERAGE(U8:U19)</f>
        <v>4.5998531591760292</v>
      </c>
      <c r="V5" s="281">
        <f t="shared" si="3"/>
        <v>4.6741526659538053</v>
      </c>
      <c r="W5" s="281">
        <f>+AVERAGE(W8:W19)</f>
        <v>4.79304727305753</v>
      </c>
      <c r="X5" s="281">
        <f t="shared" si="3"/>
        <v>4.855350134509175</v>
      </c>
      <c r="Y5" s="281">
        <f t="shared" si="3"/>
        <v>3.9759947936279851</v>
      </c>
      <c r="Z5" s="281">
        <f t="shared" si="3"/>
        <v>4.3627610375368491</v>
      </c>
      <c r="AA5" s="281">
        <f t="shared" si="3"/>
        <v>4.3328811590055656</v>
      </c>
      <c r="AB5" s="281">
        <f t="shared" si="3"/>
        <v>4.9509593689414233</v>
      </c>
      <c r="AC5" s="281">
        <f t="shared" si="3"/>
        <v>4.97590670247539</v>
      </c>
      <c r="AD5" s="281">
        <f t="shared" si="3"/>
        <v>5.1390556532641476</v>
      </c>
      <c r="AE5" s="281">
        <f t="shared" si="3"/>
        <v>5.1263093326450742</v>
      </c>
      <c r="AF5" s="281">
        <f t="shared" si="3"/>
        <v>5.1718433501031669</v>
      </c>
      <c r="AG5" s="281">
        <f t="shared" si="3"/>
        <v>5.3959518487610545</v>
      </c>
      <c r="AH5" s="281">
        <f t="shared" si="3"/>
        <v>5.0887540894176517</v>
      </c>
      <c r="AI5" s="281">
        <f t="shared" si="3"/>
        <v>4.770425636714636</v>
      </c>
    </row>
    <row r="6" spans="1:35" s="272" customFormat="1" ht="11.25" x14ac:dyDescent="0.2">
      <c r="A6" s="282" t="s">
        <v>76</v>
      </c>
      <c r="B6" s="277">
        <f t="shared" ref="B6:P6" si="4">+MAX(B8:B19)</f>
        <v>1.0138489318352009</v>
      </c>
      <c r="C6" s="277">
        <f t="shared" si="4"/>
        <v>1.112064332448554</v>
      </c>
      <c r="D6" s="277">
        <f>+MAX(D8:D19)</f>
        <v>1.0924586306933635</v>
      </c>
      <c r="E6" s="277">
        <f>+MAX(E8:E19)</f>
        <v>1.0671681067482683</v>
      </c>
      <c r="F6" s="277">
        <f t="shared" si="4"/>
        <v>0.92785973946608635</v>
      </c>
      <c r="G6" s="277">
        <f t="shared" si="4"/>
        <v>0.98901567199767215</v>
      </c>
      <c r="H6" s="277">
        <f t="shared" si="4"/>
        <v>0.98718164030331634</v>
      </c>
      <c r="I6" s="277">
        <f t="shared" si="4"/>
        <v>1.1445744322139002</v>
      </c>
      <c r="J6" s="277">
        <f t="shared" si="4"/>
        <v>1.0798556244853896</v>
      </c>
      <c r="K6" s="277">
        <f t="shared" si="4"/>
        <v>1.2534822700163588</v>
      </c>
      <c r="L6" s="277">
        <f t="shared" si="4"/>
        <v>1.1603023318191998</v>
      </c>
      <c r="M6" s="277">
        <f t="shared" si="4"/>
        <v>1.1978435884217447</v>
      </c>
      <c r="N6" s="284">
        <f t="shared" si="4"/>
        <v>1.2414010042311916</v>
      </c>
      <c r="O6" s="284">
        <f t="shared" si="4"/>
        <v>1.107622778162427</v>
      </c>
      <c r="P6" s="284">
        <f t="shared" si="4"/>
        <v>1.0724098188325131</v>
      </c>
      <c r="Q6" s="279"/>
      <c r="T6" s="283" t="s">
        <v>76</v>
      </c>
      <c r="U6" s="281">
        <f t="shared" ref="U6:AI6" si="5">+MAX(U8:U19)</f>
        <v>6.7838233147262308</v>
      </c>
      <c r="V6" s="281">
        <f t="shared" si="5"/>
        <v>6.2802665902210322</v>
      </c>
      <c r="W6" s="281">
        <f>+MAX(W8:W19)</f>
        <v>6.4073576662790908</v>
      </c>
      <c r="X6" s="281">
        <f t="shared" si="5"/>
        <v>6.6928539671262826</v>
      </c>
      <c r="Y6" s="281">
        <f t="shared" si="5"/>
        <v>6.250164322940174</v>
      </c>
      <c r="Z6" s="281">
        <f t="shared" si="5"/>
        <v>6.6349355777214116</v>
      </c>
      <c r="AA6" s="281">
        <f t="shared" si="5"/>
        <v>6.6234421799249459</v>
      </c>
      <c r="AB6" s="281">
        <f t="shared" si="5"/>
        <v>6.5734415922569092</v>
      </c>
      <c r="AC6" s="281">
        <f t="shared" si="5"/>
        <v>6.7947117177172061</v>
      </c>
      <c r="AD6" s="281">
        <f t="shared" si="5"/>
        <v>6.7140956215336569</v>
      </c>
      <c r="AE6" s="281">
        <f t="shared" si="5"/>
        <v>7.0038625513232917</v>
      </c>
      <c r="AF6" s="281">
        <f t="shared" si="5"/>
        <v>6.9294451120895957</v>
      </c>
      <c r="AG6" s="281">
        <f t="shared" si="5"/>
        <v>7.2405440404946475</v>
      </c>
      <c r="AH6" s="281">
        <f t="shared" si="5"/>
        <v>6.9515379355347555</v>
      </c>
      <c r="AI6" s="281">
        <f t="shared" si="5"/>
        <v>7.1545897858096703</v>
      </c>
    </row>
    <row r="7" spans="1:35" ht="38.25" x14ac:dyDescent="0.25">
      <c r="A7" s="285" t="s">
        <v>77</v>
      </c>
      <c r="B7" s="286" t="s">
        <v>78</v>
      </c>
      <c r="C7" s="286" t="s">
        <v>78</v>
      </c>
      <c r="D7" s="286" t="s">
        <v>78</v>
      </c>
      <c r="E7" s="286" t="s">
        <v>78</v>
      </c>
      <c r="F7" s="286" t="s">
        <v>78</v>
      </c>
      <c r="G7" s="286" t="s">
        <v>78</v>
      </c>
      <c r="H7" s="286" t="s">
        <v>78</v>
      </c>
      <c r="I7" s="286" t="s">
        <v>78</v>
      </c>
      <c r="J7" s="286" t="s">
        <v>78</v>
      </c>
      <c r="K7" s="286" t="s">
        <v>78</v>
      </c>
      <c r="L7" s="286" t="s">
        <v>78</v>
      </c>
      <c r="M7" s="286" t="s">
        <v>78</v>
      </c>
      <c r="N7" s="286" t="s">
        <v>78</v>
      </c>
      <c r="O7" s="286" t="s">
        <v>78</v>
      </c>
      <c r="P7" s="286" t="s">
        <v>78</v>
      </c>
      <c r="Q7" s="269" t="s">
        <v>79</v>
      </c>
      <c r="S7" s="287" t="s">
        <v>77</v>
      </c>
      <c r="T7" s="288" t="s">
        <v>80</v>
      </c>
      <c r="U7" s="289" t="s">
        <v>81</v>
      </c>
      <c r="V7" s="289" t="s">
        <v>81</v>
      </c>
      <c r="W7" s="289" t="s">
        <v>81</v>
      </c>
      <c r="X7" s="289" t="s">
        <v>81</v>
      </c>
      <c r="Y7" s="289" t="s">
        <v>81</v>
      </c>
      <c r="Z7" s="289" t="s">
        <v>81</v>
      </c>
      <c r="AA7" s="289" t="s">
        <v>81</v>
      </c>
      <c r="AB7" s="289" t="s">
        <v>81</v>
      </c>
      <c r="AC7" s="289" t="s">
        <v>81</v>
      </c>
      <c r="AD7" s="289" t="s">
        <v>81</v>
      </c>
      <c r="AE7" s="289" t="s">
        <v>81</v>
      </c>
      <c r="AF7" s="289" t="s">
        <v>81</v>
      </c>
      <c r="AG7" s="289" t="s">
        <v>81</v>
      </c>
      <c r="AH7" s="289" t="s">
        <v>81</v>
      </c>
      <c r="AI7" s="289" t="s">
        <v>81</v>
      </c>
    </row>
    <row r="8" spans="1:35" s="298" customFormat="1" x14ac:dyDescent="0.25">
      <c r="A8" s="290">
        <v>44941</v>
      </c>
      <c r="B8" s="291">
        <f>+U8/($T8-U8)*(Nserv-1)</f>
        <v>0.79993251625900252</v>
      </c>
      <c r="C8" s="292">
        <f t="shared" ref="C8:C19" si="6">+V8/($T8-V8)*(Nserv-1)</f>
        <v>1.112064332448554</v>
      </c>
      <c r="D8" s="292">
        <f t="shared" ref="D8:D19" si="7">+W8/($T8-W8)*(Nserv-1)</f>
        <v>1.0769483177613364</v>
      </c>
      <c r="E8" s="292">
        <f t="shared" ref="E8:E19" si="8">+X8/($T8-X8)*(Nserv-1)</f>
        <v>1.0632850098393949</v>
      </c>
      <c r="F8" s="292">
        <f t="shared" ref="F8:F19" si="9">+Y8/($T8-Y8)*(Nserv-1)</f>
        <v>0.68684150967498392</v>
      </c>
      <c r="G8" s="292">
        <f t="shared" ref="G8:G19" si="10">+Z8/($T8-Z8)*(Nserv-1)</f>
        <v>0.75844055184706283</v>
      </c>
      <c r="H8" s="292">
        <f t="shared" ref="H8:H19" si="11">+AA8/($T8-AA8)*(Nserv-1)</f>
        <v>0.71862901480896146</v>
      </c>
      <c r="I8" s="292">
        <f t="shared" ref="I8:I19" si="12">+AB8/($T8-AB8)*(Nserv-1)</f>
        <v>1.1382598099473906</v>
      </c>
      <c r="J8" s="292">
        <f t="shared" ref="J8:J19" si="13">+AC8/($T8-AC8)*(Nserv-1)</f>
        <v>1.0708879034215641</v>
      </c>
      <c r="K8" s="292">
        <f t="shared" ref="K8:K19" si="14">+AD8/($T8-AD8)*(Nserv-1)</f>
        <v>1.2226075513540289</v>
      </c>
      <c r="L8" s="292">
        <f t="shared" ref="L8:L19" si="15">+AE8/($T8-AE8)*(Nserv-1)</f>
        <v>1.1203342049561926</v>
      </c>
      <c r="M8" s="292">
        <f t="shared" ref="M8:M19" si="16">+AF8/($T8-AF8)*(Nserv-1)</f>
        <v>1.1627542981956522</v>
      </c>
      <c r="N8" s="292">
        <f>+AG8/($T8-AG8)*(Nserv-1)</f>
        <v>1.1934522712247919</v>
      </c>
      <c r="O8" s="292">
        <f>+AH8/($T8-AH8)*(Nserv-1)</f>
        <v>1.0987937419081146</v>
      </c>
      <c r="P8" s="293">
        <f>+AI8/($T8-AI8)*(Nserv-1)</f>
        <v>0.81007433750070368</v>
      </c>
      <c r="Q8" s="269">
        <f>AVERAGE(B8:P8)</f>
        <v>1.0022203580765157</v>
      </c>
      <c r="R8" s="294"/>
      <c r="S8" s="295">
        <v>44941</v>
      </c>
      <c r="T8" s="296">
        <f>SUM(U8:AI8)</f>
        <v>42.110410756468951</v>
      </c>
      <c r="U8" s="297">
        <f>[1]Recap!$B$66</f>
        <v>2.2760567860776364</v>
      </c>
      <c r="V8" s="297">
        <f>[2]Recap!$B$66</f>
        <v>3.0988146157156704</v>
      </c>
      <c r="W8" s="297">
        <f>[3]Recap!$B$66</f>
        <v>3.0079519454870631</v>
      </c>
      <c r="X8" s="297">
        <f>[4]Recap!$B$66</f>
        <v>2.9724836572026359</v>
      </c>
      <c r="Y8" s="297">
        <f>[5]Recap!$B$66</f>
        <v>1.9693259492147186</v>
      </c>
      <c r="Z8" s="297">
        <f>[6]Recap!$B$66</f>
        <v>2.1640662548622478</v>
      </c>
      <c r="AA8" s="297">
        <f>[7]Recap!$B$66</f>
        <v>2.0560177829521002</v>
      </c>
      <c r="AB8" s="297">
        <f>[8]Recap!$B$65</f>
        <v>3.1663208814112349</v>
      </c>
      <c r="AC8" s="297">
        <f>[9]Recap!$B$65</f>
        <v>2.9922277822116787</v>
      </c>
      <c r="AD8" s="297">
        <f>[10]Recap!$B$65</f>
        <v>3.3821082234297886</v>
      </c>
      <c r="AE8" s="297">
        <f>[11]Recap!$B$64</f>
        <v>3.120151506953019</v>
      </c>
      <c r="AF8" s="297">
        <f>[12]Recap!$B$64</f>
        <v>3.229232640912433</v>
      </c>
      <c r="AG8" s="297">
        <f>[13]Recap!$B$64</f>
        <v>3.3077910446132872</v>
      </c>
      <c r="AH8" s="297">
        <f>[14]Recap!$B$62</f>
        <v>3.0645266502289985</v>
      </c>
      <c r="AI8" s="297">
        <f>[15]Recap!$B$62</f>
        <v>2.303335035196441</v>
      </c>
    </row>
    <row r="9" spans="1:35" s="298" customFormat="1" x14ac:dyDescent="0.25">
      <c r="A9" s="299">
        <v>44972</v>
      </c>
      <c r="B9" s="300">
        <f t="shared" ref="B9:B19" si="17">+U9/($T9-U9)*(Nserv-1)</f>
        <v>0.89968684227919937</v>
      </c>
      <c r="C9" s="301">
        <f t="shared" si="6"/>
        <v>1.0484182360045187</v>
      </c>
      <c r="D9" s="301">
        <f t="shared" si="7"/>
        <v>1.0551748811310635</v>
      </c>
      <c r="E9" s="301">
        <f t="shared" si="8"/>
        <v>1.0284093768134146</v>
      </c>
      <c r="F9" s="301">
        <f t="shared" si="9"/>
        <v>0.71047620667855482</v>
      </c>
      <c r="G9" s="301">
        <f t="shared" si="10"/>
        <v>0.78312211758705541</v>
      </c>
      <c r="H9" s="301">
        <f t="shared" si="11"/>
        <v>0.79751160774081609</v>
      </c>
      <c r="I9" s="301">
        <f t="shared" si="12"/>
        <v>1.1152916992561164</v>
      </c>
      <c r="J9" s="301">
        <f t="shared" si="13"/>
        <v>1.0643682108900141</v>
      </c>
      <c r="K9" s="301">
        <f t="shared" si="14"/>
        <v>1.1764670704936757</v>
      </c>
      <c r="L9" s="301">
        <f t="shared" si="15"/>
        <v>1.0891359705227388</v>
      </c>
      <c r="M9" s="301">
        <f t="shared" si="16"/>
        <v>1.1161057551442015</v>
      </c>
      <c r="N9" s="301">
        <f t="shared" ref="N9:N19" si="18">+AG9/($T9-AG9)*(Nserv-1)</f>
        <v>1.1583418341323386</v>
      </c>
      <c r="O9" s="301">
        <f t="shared" ref="O9:O19" si="19">+AH9/($T9-AH9)*(Nserv-1)</f>
        <v>1.0891189000569148</v>
      </c>
      <c r="P9" s="302">
        <f t="shared" ref="P9:P19" si="20">+AI9/($T9-AI9)*(Nserv-1)</f>
        <v>0.88874556750451217</v>
      </c>
      <c r="Q9" s="269">
        <f t="shared" ref="Q9:Q19" si="21">AVERAGE(B9:P9)</f>
        <v>1.0013582850823421</v>
      </c>
      <c r="R9" s="294"/>
      <c r="S9" s="295">
        <v>44972</v>
      </c>
      <c r="T9" s="296">
        <f t="shared" ref="T9:T19" si="22">SUM(U9:AI9)</f>
        <v>57.29076962008989</v>
      </c>
      <c r="U9" s="303">
        <f>[1]Recap!$C$66</f>
        <v>3.4593848955928208</v>
      </c>
      <c r="V9" s="303">
        <f>[2]Recap!$C$66</f>
        <v>3.9914286460171899</v>
      </c>
      <c r="W9" s="303">
        <f>[3]Recap!$C$66</f>
        <v>4.015348974760224</v>
      </c>
      <c r="X9" s="303">
        <f>[4]Recap!$C$66</f>
        <v>3.9204657795029028</v>
      </c>
      <c r="Y9" s="303">
        <f>[5]Recap!$C$66</f>
        <v>2.7669891922939223</v>
      </c>
      <c r="Z9" s="303">
        <f>[6]Recap!$C$66</f>
        <v>3.0349251305785767</v>
      </c>
      <c r="AA9" s="303">
        <f>[7]Recap!$C$66</f>
        <v>3.0876849432255482</v>
      </c>
      <c r="AB9" s="303">
        <f>[8]Recap!$C$65</f>
        <v>4.2272369645651837</v>
      </c>
      <c r="AC9" s="303">
        <f>[9]Recap!$C$65</f>
        <v>4.0478613578341625</v>
      </c>
      <c r="AD9" s="303">
        <f>[10]Recap!$C$65</f>
        <v>4.4411326818160948</v>
      </c>
      <c r="AE9" s="303">
        <f>[11]Recap!$C$64</f>
        <v>4.1352558618377664</v>
      </c>
      <c r="AF9" s="303">
        <f>[12]Recap!$C$64</f>
        <v>4.2300946239319908</v>
      </c>
      <c r="AG9" s="303">
        <f>[13]Recap!$C$64</f>
        <v>4.3779389518158833</v>
      </c>
      <c r="AH9" s="303">
        <f>[14]Recap!$C$62</f>
        <v>4.1351957264920927</v>
      </c>
      <c r="AI9" s="303">
        <f>[15]Recap!$C$62</f>
        <v>3.4198258898255309</v>
      </c>
    </row>
    <row r="10" spans="1:35" s="298" customFormat="1" x14ac:dyDescent="0.25">
      <c r="A10" s="299">
        <v>45000</v>
      </c>
      <c r="B10" s="300">
        <f>+U10/($T10-U10)*(Nserv-1)</f>
        <v>0.96667416439537956</v>
      </c>
      <c r="C10" s="301">
        <f>+V10/($T10-V10)*(Nserv-1)</f>
        <v>0.97323956731039307</v>
      </c>
      <c r="D10" s="301">
        <f t="shared" si="7"/>
        <v>1.0127410527004905</v>
      </c>
      <c r="E10" s="301">
        <f>+X10/($T10-X10)*(Nserv-1)</f>
        <v>1.0011659412841269</v>
      </c>
      <c r="F10" s="301">
        <f t="shared" si="9"/>
        <v>0.76462515110223239</v>
      </c>
      <c r="G10" s="301">
        <f t="shared" si="10"/>
        <v>0.83950116328515556</v>
      </c>
      <c r="H10" s="301">
        <f t="shared" si="11"/>
        <v>0.88740534549271466</v>
      </c>
      <c r="I10" s="301">
        <f t="shared" si="12"/>
        <v>1.0779541186717183</v>
      </c>
      <c r="J10" s="301">
        <f t="shared" si="13"/>
        <v>1.0508963433029028</v>
      </c>
      <c r="K10" s="301">
        <f t="shared" si="14"/>
        <v>1.1188813858508708</v>
      </c>
      <c r="L10" s="301">
        <f t="shared" si="15"/>
        <v>1.0614146435705856</v>
      </c>
      <c r="M10" s="301">
        <f t="shared" si="16"/>
        <v>1.0960127479579131</v>
      </c>
      <c r="N10" s="301">
        <f t="shared" si="18"/>
        <v>1.1291138212683443</v>
      </c>
      <c r="O10" s="301">
        <f t="shared" si="19"/>
        <v>1.0681198384241697</v>
      </c>
      <c r="P10" s="302">
        <f t="shared" si="20"/>
        <v>0.96260171619493584</v>
      </c>
      <c r="Q10" s="269">
        <f t="shared" si="21"/>
        <v>1.0006898000541289</v>
      </c>
      <c r="R10" s="294"/>
      <c r="S10" s="295">
        <v>45000</v>
      </c>
      <c r="T10" s="296">
        <f t="shared" si="22"/>
        <v>74.654213228047709</v>
      </c>
      <c r="U10" s="303">
        <f>[1]Recap!$D$66</f>
        <v>4.8217993121341438</v>
      </c>
      <c r="V10" s="303">
        <f>[2]Recap!$D$66</f>
        <v>4.8524191343726741</v>
      </c>
      <c r="W10" s="303">
        <f>[3]Recap!$D$66</f>
        <v>5.0360814342761229</v>
      </c>
      <c r="X10" s="303">
        <f>[4]Recap!$D$66</f>
        <v>4.9823631009634912</v>
      </c>
      <c r="Y10" s="303">
        <f>[5]Recap!$D$66</f>
        <v>3.8661658176708156</v>
      </c>
      <c r="Z10" s="303">
        <f>[6]Recap!$D$66</f>
        <v>4.2233426959218461</v>
      </c>
      <c r="AA10" s="303">
        <f>[7]Recap!$D$66</f>
        <v>4.4499727349856686</v>
      </c>
      <c r="AB10" s="303">
        <f>[8]Recap!$D$65</f>
        <v>5.3371840763009297</v>
      </c>
      <c r="AC10" s="303">
        <f>[9]Recap!$D$65</f>
        <v>5.2125692652464251</v>
      </c>
      <c r="AD10" s="303">
        <f>[10]Recap!$D$65</f>
        <v>5.5248273615253005</v>
      </c>
      <c r="AE10" s="303">
        <f>[11]Recap!$D$64</f>
        <v>5.2610645812288492</v>
      </c>
      <c r="AF10" s="303">
        <f>[12]Recap!$D$64</f>
        <v>5.4201046827929362</v>
      </c>
      <c r="AG10" s="303">
        <f>[13]Recap!$D$64</f>
        <v>5.5715823786852861</v>
      </c>
      <c r="AH10" s="303">
        <f>[14]Recap!$D$62</f>
        <v>5.291943986766503</v>
      </c>
      <c r="AI10" s="303">
        <f>[15]Recap!$D$62</f>
        <v>4.8027926651767041</v>
      </c>
    </row>
    <row r="11" spans="1:35" s="298" customFormat="1" x14ac:dyDescent="0.25">
      <c r="A11" s="299">
        <v>45031</v>
      </c>
      <c r="B11" s="300">
        <f t="shared" si="17"/>
        <v>0.97660532074893203</v>
      </c>
      <c r="C11" s="301">
        <f t="shared" si="6"/>
        <v>0.9157296275125717</v>
      </c>
      <c r="D11" s="301">
        <f t="shared" si="7"/>
        <v>0.97928067272388131</v>
      </c>
      <c r="E11" s="301">
        <f t="shared" si="8"/>
        <v>0.99656008430116949</v>
      </c>
      <c r="F11" s="301">
        <f t="shared" si="9"/>
        <v>0.82823929427977927</v>
      </c>
      <c r="G11" s="301">
        <f t="shared" si="10"/>
        <v>0.90488284825974408</v>
      </c>
      <c r="H11" s="301">
        <f t="shared" si="11"/>
        <v>0.95822463270063885</v>
      </c>
      <c r="I11" s="301">
        <f t="shared" si="12"/>
        <v>1.0377413879914152</v>
      </c>
      <c r="J11" s="301">
        <f t="shared" si="13"/>
        <v>1.0487899401031193</v>
      </c>
      <c r="K11" s="301">
        <f t="shared" si="14"/>
        <v>1.067576822674656</v>
      </c>
      <c r="L11" s="301">
        <f t="shared" si="15"/>
        <v>1.0451080387346725</v>
      </c>
      <c r="M11" s="301">
        <f t="shared" si="16"/>
        <v>1.0695047316576927</v>
      </c>
      <c r="N11" s="301">
        <f t="shared" si="18"/>
        <v>1.0938719441847269</v>
      </c>
      <c r="O11" s="301">
        <f t="shared" si="19"/>
        <v>1.0459666466441295</v>
      </c>
      <c r="P11" s="302">
        <f t="shared" si="20"/>
        <v>1.0370004275050253</v>
      </c>
      <c r="Q11" s="269">
        <f t="shared" si="21"/>
        <v>1.0003388280014771</v>
      </c>
      <c r="R11" s="294"/>
      <c r="S11" s="295">
        <v>45031</v>
      </c>
      <c r="T11" s="296">
        <f t="shared" si="22"/>
        <v>89.138288281778529</v>
      </c>
      <c r="U11" s="303">
        <f>[1]Recap!$E$66</f>
        <v>5.8125940260862698</v>
      </c>
      <c r="V11" s="303">
        <f>[2]Recap!$E$66</f>
        <v>5.4725161667464324</v>
      </c>
      <c r="W11" s="303">
        <f>[3]Recap!$E$66</f>
        <v>5.8274762868277294</v>
      </c>
      <c r="X11" s="303">
        <f>[4]Recap!$E$66</f>
        <v>5.923469087923884</v>
      </c>
      <c r="Y11" s="303">
        <f>[5]Recap!$E$66</f>
        <v>4.9788671139322647</v>
      </c>
      <c r="Z11" s="303">
        <f>[6]Recap!$E$66</f>
        <v>5.4116298001518039</v>
      </c>
      <c r="AA11" s="303">
        <f>[7]Recap!$E$66</f>
        <v>5.7102032925514168</v>
      </c>
      <c r="AB11" s="303">
        <f>[8]Recap!$E$65</f>
        <v>6.1513553543739503</v>
      </c>
      <c r="AC11" s="303">
        <f>[9]Recap!$E$65</f>
        <v>6.2122828745724714</v>
      </c>
      <c r="AD11" s="303">
        <f>[10]Recap!$E$65</f>
        <v>6.3156784732175923</v>
      </c>
      <c r="AE11" s="303">
        <f>[11]Recap!$E$64</f>
        <v>6.1919888778791581</v>
      </c>
      <c r="AF11" s="303">
        <f>[12]Recap!$E$64</f>
        <v>6.3262743392590952</v>
      </c>
      <c r="AG11" s="303">
        <f>[13]Recap!$E$64</f>
        <v>6.459964220224764</v>
      </c>
      <c r="AH11" s="303">
        <f>[14]Recap!$E$62</f>
        <v>6.1967222626061709</v>
      </c>
      <c r="AI11" s="303">
        <f>[15]Recap!$E$62</f>
        <v>6.1472661054255084</v>
      </c>
    </row>
    <row r="12" spans="1:35" s="298" customFormat="1" x14ac:dyDescent="0.25">
      <c r="A12" s="299">
        <v>45061</v>
      </c>
      <c r="B12" s="300">
        <f t="shared" si="17"/>
        <v>1.0138489318352009</v>
      </c>
      <c r="C12" s="301">
        <f t="shared" si="6"/>
        <v>0.93357346739823566</v>
      </c>
      <c r="D12" s="301">
        <f t="shared" si="7"/>
        <v>0.95375283910866149</v>
      </c>
      <c r="E12" s="301">
        <f t="shared" si="8"/>
        <v>0.99928306733960792</v>
      </c>
      <c r="F12" s="301">
        <f t="shared" si="9"/>
        <v>0.92573794426655409</v>
      </c>
      <c r="G12" s="301">
        <f t="shared" si="10"/>
        <v>0.98185261379313749</v>
      </c>
      <c r="H12" s="301">
        <f t="shared" si="11"/>
        <v>0.98323211364926655</v>
      </c>
      <c r="I12" s="301">
        <f t="shared" si="12"/>
        <v>0.98020579590501633</v>
      </c>
      <c r="J12" s="301">
        <f t="shared" si="13"/>
        <v>1.0155942611969828</v>
      </c>
      <c r="K12" s="301">
        <f t="shared" si="14"/>
        <v>1.0026817168373787</v>
      </c>
      <c r="L12" s="301">
        <f t="shared" si="15"/>
        <v>1.0367665049546859</v>
      </c>
      <c r="M12" s="301">
        <f t="shared" si="16"/>
        <v>1.0193379385347998</v>
      </c>
      <c r="N12" s="301">
        <f t="shared" si="18"/>
        <v>1.0804618782969904</v>
      </c>
      <c r="O12" s="301">
        <f t="shared" si="19"/>
        <v>1.0245154684347726</v>
      </c>
      <c r="P12" s="302">
        <f t="shared" si="20"/>
        <v>1.0508155010259421</v>
      </c>
      <c r="Q12" s="269">
        <f t="shared" si="21"/>
        <v>1.0001106695051489</v>
      </c>
      <c r="R12" s="294"/>
      <c r="S12" s="295">
        <v>45061</v>
      </c>
      <c r="T12" s="296">
        <f t="shared" si="22"/>
        <v>100.46003426091974</v>
      </c>
      <c r="U12" s="303">
        <f>[1]Recap!$F$66</f>
        <v>6.7838233147262308</v>
      </c>
      <c r="V12" s="303">
        <f>[2]Recap!$F$66</f>
        <v>6.2802665902210322</v>
      </c>
      <c r="W12" s="303">
        <f>[3]Recap!$F$66</f>
        <v>6.4073576662790908</v>
      </c>
      <c r="X12" s="303">
        <f>[4]Recap!$F$66</f>
        <v>6.6928539671262826</v>
      </c>
      <c r="Y12" s="303">
        <f>[5]Recap!$F$66</f>
        <v>6.2308252995541515</v>
      </c>
      <c r="Z12" s="303">
        <f>[6]Recap!$F$66</f>
        <v>6.5837616857892094</v>
      </c>
      <c r="AA12" s="303">
        <f>[7]Recap!$F$66</f>
        <v>6.5924048345790736</v>
      </c>
      <c r="AB12" s="303">
        <f>[8]Recap!$F$65</f>
        <v>6.5734415922569092</v>
      </c>
      <c r="AC12" s="303">
        <f>[9]Recap!$F$65</f>
        <v>6.7947117177172061</v>
      </c>
      <c r="AD12" s="303">
        <f>[10]Recap!$F$65</f>
        <v>6.7140956215336569</v>
      </c>
      <c r="AE12" s="303">
        <f>[11]Recap!$F$64</f>
        <v>6.926595460134509</v>
      </c>
      <c r="AF12" s="303">
        <f>[12]Recap!$F$64</f>
        <v>6.8180584688709072</v>
      </c>
      <c r="AG12" s="303">
        <f>[13]Recap!$F$64</f>
        <v>7.1976069557619509</v>
      </c>
      <c r="AH12" s="303">
        <f>[14]Recap!$F$62</f>
        <v>6.8503280039899899</v>
      </c>
      <c r="AI12" s="303">
        <f>[15]Recap!$F$62</f>
        <v>7.0139030823795459</v>
      </c>
    </row>
    <row r="13" spans="1:35" s="298" customFormat="1" x14ac:dyDescent="0.25">
      <c r="A13" s="299">
        <v>45092</v>
      </c>
      <c r="B13" s="300">
        <f t="shared" si="17"/>
        <v>1.0038747741308107</v>
      </c>
      <c r="C13" s="301">
        <f t="shared" si="6"/>
        <v>0.91054929510942728</v>
      </c>
      <c r="D13" s="301">
        <f t="shared" si="7"/>
        <v>0.93567266755701928</v>
      </c>
      <c r="E13" s="301">
        <f t="shared" si="8"/>
        <v>0.99722933843808215</v>
      </c>
      <c r="F13" s="301">
        <f t="shared" si="9"/>
        <v>0.92785973946608635</v>
      </c>
      <c r="G13" s="301">
        <f t="shared" si="10"/>
        <v>0.98901567199767215</v>
      </c>
      <c r="H13" s="301">
        <f t="shared" si="11"/>
        <v>0.98718164030331634</v>
      </c>
      <c r="I13" s="301">
        <f t="shared" si="12"/>
        <v>0.97455481162638335</v>
      </c>
      <c r="J13" s="301">
        <f t="shared" si="13"/>
        <v>1.0057301176396942</v>
      </c>
      <c r="K13" s="301">
        <f t="shared" si="14"/>
        <v>0.98804938520151731</v>
      </c>
      <c r="L13" s="301">
        <f t="shared" si="15"/>
        <v>1.0481257111881594</v>
      </c>
      <c r="M13" s="301">
        <f t="shared" si="16"/>
        <v>1.0361649305163834</v>
      </c>
      <c r="N13" s="301">
        <f t="shared" si="18"/>
        <v>1.0862932858562298</v>
      </c>
      <c r="O13" s="301">
        <f t="shared" si="19"/>
        <v>1.0397138258339205</v>
      </c>
      <c r="P13" s="302">
        <f t="shared" si="20"/>
        <v>1.0724098188325131</v>
      </c>
      <c r="Q13" s="269">
        <f t="shared" si="21"/>
        <v>1.0001616675798146</v>
      </c>
      <c r="R13" s="294"/>
      <c r="S13" s="295">
        <v>45092</v>
      </c>
      <c r="T13" s="296">
        <f t="shared" si="22"/>
        <v>100.5556900390505</v>
      </c>
      <c r="U13" s="303">
        <f>[1]Recap!$G$66</f>
        <v>6.727950089237364</v>
      </c>
      <c r="V13" s="303">
        <f>[2]Recap!$G$66</f>
        <v>6.1406800562559383</v>
      </c>
      <c r="W13" s="303">
        <f>[3]Recap!$G$66</f>
        <v>6.2994960341658803</v>
      </c>
      <c r="X13" s="303">
        <f>[4]Recap!$G$66</f>
        <v>6.6863739955496833</v>
      </c>
      <c r="Y13" s="303">
        <f>[5]Recap!$G$66</f>
        <v>6.250164322940174</v>
      </c>
      <c r="Z13" s="303">
        <f>[6]Recap!$G$66</f>
        <v>6.6349355777214116</v>
      </c>
      <c r="AA13" s="303">
        <f>[7]Recap!$G$66</f>
        <v>6.6234421799249459</v>
      </c>
      <c r="AB13" s="303">
        <f>[8]Recap!$G$65</f>
        <v>6.544236726682656</v>
      </c>
      <c r="AC13" s="303">
        <f>[9]Recap!$G$65</f>
        <v>6.7395511700847717</v>
      </c>
      <c r="AD13" s="303">
        <f>[10]Recap!$G$65</f>
        <v>6.6288804612357071</v>
      </c>
      <c r="AE13" s="303">
        <f>[11]Recap!$G$64</f>
        <v>7.0038625513232917</v>
      </c>
      <c r="AF13" s="303">
        <f>[12]Recap!$G$64</f>
        <v>6.9294451120895957</v>
      </c>
      <c r="AG13" s="303">
        <f>[13]Recap!$G$64</f>
        <v>7.2405440404946475</v>
      </c>
      <c r="AH13" s="303">
        <f>[14]Recap!$G$62</f>
        <v>6.9515379355347555</v>
      </c>
      <c r="AI13" s="303">
        <f>[15]Recap!$G$62</f>
        <v>7.1545897858096703</v>
      </c>
    </row>
    <row r="14" spans="1:35" s="298" customFormat="1" x14ac:dyDescent="0.25">
      <c r="A14" s="299">
        <v>45122</v>
      </c>
      <c r="B14" s="300">
        <f t="shared" si="17"/>
        <v>1.0008512224724866</v>
      </c>
      <c r="C14" s="301">
        <f t="shared" si="6"/>
        <v>0.90057185341568324</v>
      </c>
      <c r="D14" s="301">
        <f t="shared" si="7"/>
        <v>0.93832608578287746</v>
      </c>
      <c r="E14" s="301">
        <f t="shared" si="8"/>
        <v>0.99105866745925342</v>
      </c>
      <c r="F14" s="301">
        <f t="shared" si="9"/>
        <v>0.91205379296438804</v>
      </c>
      <c r="G14" s="301">
        <f t="shared" si="10"/>
        <v>0.98873807729293484</v>
      </c>
      <c r="H14" s="301">
        <f t="shared" si="11"/>
        <v>0.97819021657386107</v>
      </c>
      <c r="I14" s="301">
        <f t="shared" si="12"/>
        <v>0.96563589521266624</v>
      </c>
      <c r="J14" s="301">
        <f t="shared" si="13"/>
        <v>1.0089316715023016</v>
      </c>
      <c r="K14" s="301">
        <f t="shared" si="14"/>
        <v>0.98589047375623828</v>
      </c>
      <c r="L14" s="301">
        <f t="shared" si="15"/>
        <v>1.0574569154179903</v>
      </c>
      <c r="M14" s="301">
        <f t="shared" si="16"/>
        <v>1.0478380500855966</v>
      </c>
      <c r="N14" s="301">
        <f t="shared" si="18"/>
        <v>1.1029284934604262</v>
      </c>
      <c r="O14" s="301">
        <f t="shared" si="19"/>
        <v>1.0529367651906236</v>
      </c>
      <c r="P14" s="302">
        <f t="shared" si="20"/>
        <v>1.0717724345021025</v>
      </c>
      <c r="Q14" s="269">
        <f t="shared" si="21"/>
        <v>1.0002120410059621</v>
      </c>
      <c r="R14" s="294"/>
      <c r="S14" s="295">
        <v>45122</v>
      </c>
      <c r="T14" s="296">
        <f t="shared" si="22"/>
        <v>96.48151285356451</v>
      </c>
      <c r="U14" s="303">
        <f>[1]Recap!$H$66</f>
        <v>6.4372107058048043</v>
      </c>
      <c r="V14" s="303">
        <f>[2]Recap!$H$66</f>
        <v>5.8312214930842439</v>
      </c>
      <c r="W14" s="303">
        <f>[3]Recap!$H$66</f>
        <v>6.0603256205831499</v>
      </c>
      <c r="X14" s="303">
        <f>[4]Recap!$H$66</f>
        <v>6.3783913921078899</v>
      </c>
      <c r="Y14" s="303">
        <f>[5]Recap!$H$66</f>
        <v>5.9010201391945856</v>
      </c>
      <c r="Z14" s="303">
        <f>[6]Recap!$H$66</f>
        <v>6.3644414240358724</v>
      </c>
      <c r="AA14" s="303">
        <f>[7]Recap!$H$66</f>
        <v>6.3009796636959825</v>
      </c>
      <c r="AB14" s="303">
        <f>[8]Recap!$H$65</f>
        <v>6.2253293270102112</v>
      </c>
      <c r="AC14" s="303">
        <f>[9]Recap!$H$65</f>
        <v>6.4856883996110684</v>
      </c>
      <c r="AD14" s="303">
        <f>[10]Recap!$H$65</f>
        <v>6.3473174705565079</v>
      </c>
      <c r="AE14" s="303">
        <f>[11]Recap!$H$64</f>
        <v>6.7757154179550465</v>
      </c>
      <c r="AF14" s="303">
        <f>[12]Recap!$H$64</f>
        <v>6.7183737598247486</v>
      </c>
      <c r="AG14" s="303">
        <f>[13]Recap!$H$64</f>
        <v>7.0457997377423309</v>
      </c>
      <c r="AH14" s="303">
        <f>[14]Recap!$H$62</f>
        <v>6.7487782370580698</v>
      </c>
      <c r="AI14" s="303">
        <f>[15]Recap!$H$62</f>
        <v>6.8609200652999869</v>
      </c>
    </row>
    <row r="15" spans="1:35" s="298" customFormat="1" x14ac:dyDescent="0.25">
      <c r="A15" s="299">
        <v>45153</v>
      </c>
      <c r="B15" s="300">
        <f t="shared" si="17"/>
        <v>1.0032576709028294</v>
      </c>
      <c r="C15" s="301">
        <f t="shared" si="6"/>
        <v>0.91985519366021962</v>
      </c>
      <c r="D15" s="301">
        <f t="shared" si="7"/>
        <v>0.96653836142735483</v>
      </c>
      <c r="E15" s="301">
        <f t="shared" si="8"/>
        <v>0.99443748748242788</v>
      </c>
      <c r="F15" s="301">
        <f t="shared" si="9"/>
        <v>0.87977614237681756</v>
      </c>
      <c r="G15" s="301">
        <f t="shared" si="10"/>
        <v>0.96757106550733762</v>
      </c>
      <c r="H15" s="301">
        <f t="shared" si="11"/>
        <v>0.95078423635075682</v>
      </c>
      <c r="I15" s="301">
        <f t="shared" si="12"/>
        <v>0.96820754984108048</v>
      </c>
      <c r="J15" s="301">
        <f t="shared" si="13"/>
        <v>1.0179529475461795</v>
      </c>
      <c r="K15" s="301">
        <f t="shared" si="14"/>
        <v>1.0032164813803359</v>
      </c>
      <c r="L15" s="301">
        <f t="shared" si="15"/>
        <v>1.0625917114361094</v>
      </c>
      <c r="M15" s="301">
        <f t="shared" si="16"/>
        <v>1.0576054063706544</v>
      </c>
      <c r="N15" s="301">
        <f t="shared" si="18"/>
        <v>1.1210638100164918</v>
      </c>
      <c r="O15" s="301">
        <f t="shared" si="19"/>
        <v>1.055800828341378</v>
      </c>
      <c r="P15" s="302">
        <f t="shared" si="20"/>
        <v>1.034880005244603</v>
      </c>
      <c r="Q15" s="269">
        <f t="shared" si="21"/>
        <v>1.0002359265256384</v>
      </c>
      <c r="R15" s="294"/>
      <c r="S15" s="295">
        <v>45153</v>
      </c>
      <c r="T15" s="296">
        <f t="shared" si="22"/>
        <v>88.850649726575341</v>
      </c>
      <c r="U15" s="303">
        <f>[1]Recap!$I$66</f>
        <v>5.9413827222180222</v>
      </c>
      <c r="V15" s="303">
        <f>[2]Recap!$I$66</f>
        <v>5.4779172150279374</v>
      </c>
      <c r="W15" s="303">
        <f>[3]Recap!$I$66</f>
        <v>5.7379708870962904</v>
      </c>
      <c r="X15" s="303">
        <f>[4]Recap!$I$66</f>
        <v>5.892612973913697</v>
      </c>
      <c r="Y15" s="303">
        <f>[5]Recap!$I$66</f>
        <v>5.2533506630855822</v>
      </c>
      <c r="Z15" s="303">
        <f>[6]Recap!$I$66</f>
        <v>5.7437053380743546</v>
      </c>
      <c r="AA15" s="303">
        <f>[7]Recap!$I$66</f>
        <v>5.6503923683250328</v>
      </c>
      <c r="AB15" s="303">
        <f>[8]Recap!$I$65</f>
        <v>5.7472392460558126</v>
      </c>
      <c r="AC15" s="303">
        <f>[9]Recap!$I$65</f>
        <v>6.0225105975803892</v>
      </c>
      <c r="AD15" s="303">
        <f>[10]Recap!$I$65</f>
        <v>5.9411551048186189</v>
      </c>
      <c r="AE15" s="303">
        <f>[11]Recap!$I$64</f>
        <v>6.2679760405037541</v>
      </c>
      <c r="AF15" s="303">
        <f>[12]Recap!$I$64</f>
        <v>6.2406289030933495</v>
      </c>
      <c r="AG15" s="303">
        <f>[13]Recap!$I$64</f>
        <v>6.5873174768916396</v>
      </c>
      <c r="AH15" s="303">
        <f>[14]Recap!$I$62</f>
        <v>6.2307273222823509</v>
      </c>
      <c r="AI15" s="303">
        <f>[15]Recap!$I$62</f>
        <v>6.1157628676085167</v>
      </c>
    </row>
    <row r="16" spans="1:35" s="313" customFormat="1" x14ac:dyDescent="0.25">
      <c r="A16" s="304">
        <v>45184</v>
      </c>
      <c r="B16" s="305">
        <f t="shared" si="17"/>
        <v>1.0051306705855616</v>
      </c>
      <c r="C16" s="306">
        <f t="shared" si="6"/>
        <v>0.98048178411270359</v>
      </c>
      <c r="D16" s="306">
        <f t="shared" si="7"/>
        <v>1.0083998202426974</v>
      </c>
      <c r="E16" s="306">
        <f t="shared" si="8"/>
        <v>1.005359814122829</v>
      </c>
      <c r="F16" s="306">
        <f t="shared" si="9"/>
        <v>0.80401310621841837</v>
      </c>
      <c r="G16" s="306">
        <f t="shared" si="10"/>
        <v>0.91353355593740648</v>
      </c>
      <c r="H16" s="306">
        <f t="shared" si="11"/>
        <v>0.88174743645633658</v>
      </c>
      <c r="I16" s="306">
        <f t="shared" si="12"/>
        <v>0.99519362905355191</v>
      </c>
      <c r="J16" s="306">
        <f t="shared" si="13"/>
        <v>1.0262706924864666</v>
      </c>
      <c r="K16" s="306">
        <f t="shared" si="14"/>
        <v>1.0520233936143339</v>
      </c>
      <c r="L16" s="306">
        <f t="shared" si="15"/>
        <v>1.0626271934479201</v>
      </c>
      <c r="M16" s="306">
        <f t="shared" si="16"/>
        <v>1.0679426054049288</v>
      </c>
      <c r="N16" s="306">
        <f t="shared" si="18"/>
        <v>1.1463948933031722</v>
      </c>
      <c r="O16" s="306">
        <f t="shared" si="19"/>
        <v>1.0604064378927751</v>
      </c>
      <c r="P16" s="307">
        <f t="shared" si="20"/>
        <v>0.99699623249045843</v>
      </c>
      <c r="Q16" s="308">
        <f t="shared" si="21"/>
        <v>1.0004347510246374</v>
      </c>
      <c r="R16" s="309"/>
      <c r="S16" s="310">
        <v>45184</v>
      </c>
      <c r="T16" s="311">
        <f t="shared" si="22"/>
        <v>77.023095065510816</v>
      </c>
      <c r="U16" s="312">
        <f>[1]Recap!$J$66</f>
        <v>5.15945358246928</v>
      </c>
      <c r="V16" s="312">
        <f>[2]Recap!$J$66</f>
        <v>5.041209138400716</v>
      </c>
      <c r="W16" s="312">
        <f>[3]Recap!$J$66</f>
        <v>5.1751070166613751</v>
      </c>
      <c r="X16" s="312">
        <f>[4]Recap!$J$66</f>
        <v>5.1605509962743685</v>
      </c>
      <c r="Y16" s="312">
        <f>[5]Recap!$J$66</f>
        <v>4.1831615163975533</v>
      </c>
      <c r="Z16" s="312">
        <f>[6]Recap!$J$66</f>
        <v>4.7180758108455034</v>
      </c>
      <c r="AA16" s="312">
        <f>[7]Recap!$J$66</f>
        <v>4.563638572145992</v>
      </c>
      <c r="AB16" s="312">
        <f>[8]Recap!$J$65</f>
        <v>5.1118308569664341</v>
      </c>
      <c r="AC16" s="312">
        <f>[9]Recap!$J$65</f>
        <v>5.2605564433135159</v>
      </c>
      <c r="AD16" s="312">
        <f>[10]Recap!$J$65</f>
        <v>5.3833358970113165</v>
      </c>
      <c r="AE16" s="312">
        <f>[11]Recap!$J$64</f>
        <v>5.4337689095656954</v>
      </c>
      <c r="AF16" s="312">
        <f>[12]Recap!$J$64</f>
        <v>5.4590229717962631</v>
      </c>
      <c r="AG16" s="312">
        <f>[13]Recap!$J$64</f>
        <v>5.8296963384037239</v>
      </c>
      <c r="AH16" s="312">
        <f>[14]Recap!$J$62</f>
        <v>5.4232125946079606</v>
      </c>
      <c r="AI16" s="312">
        <f>[15]Recap!$J$62</f>
        <v>5.120474420651127</v>
      </c>
    </row>
    <row r="17" spans="1:35" s="316" customFormat="1" x14ac:dyDescent="0.25">
      <c r="A17" s="299">
        <v>44849</v>
      </c>
      <c r="B17" s="300">
        <f>+U17/($T17-U17)*(Nserv-1)</f>
        <v>0.93240676473620021</v>
      </c>
      <c r="C17" s="301">
        <f t="shared" si="6"/>
        <v>1.0276707589720371</v>
      </c>
      <c r="D17" s="301">
        <f t="shared" si="7"/>
        <v>1.0475461093890002</v>
      </c>
      <c r="E17" s="301">
        <f t="shared" si="8"/>
        <v>1.0126519440545321</v>
      </c>
      <c r="F17" s="301">
        <f t="shared" si="9"/>
        <v>0.69008606003563089</v>
      </c>
      <c r="G17" s="301">
        <f t="shared" si="10"/>
        <v>0.81863535944677535</v>
      </c>
      <c r="H17" s="301">
        <f t="shared" si="11"/>
        <v>0.76106379954107128</v>
      </c>
      <c r="I17" s="301">
        <f t="shared" si="12"/>
        <v>1.0781756518491292</v>
      </c>
      <c r="J17" s="301">
        <f t="shared" si="13"/>
        <v>1.0641868411937798</v>
      </c>
      <c r="K17" s="301">
        <f t="shared" si="14"/>
        <v>1.1509889525872143</v>
      </c>
      <c r="L17" s="301">
        <f t="shared" si="15"/>
        <v>1.0932678435932992</v>
      </c>
      <c r="M17" s="301">
        <f t="shared" si="16"/>
        <v>1.1218529455146085</v>
      </c>
      <c r="N17" s="301">
        <f t="shared" si="18"/>
        <v>1.1813556199900606</v>
      </c>
      <c r="O17" s="301">
        <f t="shared" si="19"/>
        <v>1.0885535466996954</v>
      </c>
      <c r="P17" s="302">
        <f>+AI17/($T17-AI17)*(Nserv-1)</f>
        <v>0.95128780246783451</v>
      </c>
      <c r="Q17" s="269">
        <f t="shared" si="21"/>
        <v>1.0013153333380582</v>
      </c>
      <c r="R17" s="314"/>
      <c r="S17" s="295">
        <v>44849</v>
      </c>
      <c r="T17" s="315">
        <f t="shared" si="22"/>
        <v>59.722130909288865</v>
      </c>
      <c r="U17" s="303">
        <f>[1]Recap!$K$65</f>
        <v>3.7291589856623895</v>
      </c>
      <c r="V17" s="303">
        <f>[2]Recap!$K$65</f>
        <v>4.0841118083674708</v>
      </c>
      <c r="W17" s="303">
        <f>[3]Recap!$K$65</f>
        <v>4.1576005432148433</v>
      </c>
      <c r="X17" s="303">
        <f>[4]Recap!$K$65</f>
        <v>4.0284509488226465</v>
      </c>
      <c r="Y17" s="303">
        <f>[5]Recap!$K$65</f>
        <v>2.8055254303951545</v>
      </c>
      <c r="Z17" s="303">
        <f>[6]Recap!$K$65</f>
        <v>3.2992679094897639</v>
      </c>
      <c r="AA17" s="303">
        <f>[7]Recap!$K$65</f>
        <v>3.079205705209795</v>
      </c>
      <c r="AB17" s="303">
        <f>[8]Recap!$K$64</f>
        <v>4.2704733589600341</v>
      </c>
      <c r="AC17" s="303">
        <f>[9]Recap!$K$64</f>
        <v>4.2189801886897591</v>
      </c>
      <c r="AD17" s="303">
        <f>[10]Recap!$K$64</f>
        <v>4.5369654163612063</v>
      </c>
      <c r="AE17" s="303">
        <f>[11]Recap!$K$63</f>
        <v>4.3259210629929852</v>
      </c>
      <c r="AF17" s="303">
        <f>[12]Recap!$K$63</f>
        <v>4.4306374830121529</v>
      </c>
      <c r="AG17" s="303">
        <f>[13]Recap!$K$63</f>
        <v>4.6473501282434686</v>
      </c>
      <c r="AH17" s="303">
        <f>[14]Recap!$K$61</f>
        <v>4.3086129638973665</v>
      </c>
      <c r="AI17" s="303">
        <f>[15]Recap!$K$61</f>
        <v>3.7998689759698356</v>
      </c>
    </row>
    <row r="18" spans="1:35" s="316" customFormat="1" x14ac:dyDescent="0.25">
      <c r="A18" s="299">
        <v>44880</v>
      </c>
      <c r="B18" s="300">
        <f t="shared" si="17"/>
        <v>0.77265122761349636</v>
      </c>
      <c r="C18" s="301">
        <f t="shared" si="6"/>
        <v>1.0815907709704857</v>
      </c>
      <c r="D18" s="301">
        <f t="shared" si="7"/>
        <v>1.0856260609721931</v>
      </c>
      <c r="E18" s="301">
        <f t="shared" si="8"/>
        <v>1.0454877488131749</v>
      </c>
      <c r="F18" s="301">
        <f t="shared" si="9"/>
        <v>0.63149542381510937</v>
      </c>
      <c r="G18" s="301">
        <f t="shared" si="10"/>
        <v>0.77092414182031144</v>
      </c>
      <c r="H18" s="301">
        <f t="shared" si="11"/>
        <v>0.73442441881062004</v>
      </c>
      <c r="I18" s="301">
        <f t="shared" si="12"/>
        <v>1.1409389411072504</v>
      </c>
      <c r="J18" s="301">
        <f t="shared" si="13"/>
        <v>1.0709532934292114</v>
      </c>
      <c r="K18" s="301">
        <f t="shared" si="14"/>
        <v>1.1998681615268576</v>
      </c>
      <c r="L18" s="301">
        <f t="shared" si="15"/>
        <v>1.1342941455237983</v>
      </c>
      <c r="M18" s="301">
        <f t="shared" si="16"/>
        <v>1.1730901372287019</v>
      </c>
      <c r="N18" s="301">
        <f t="shared" si="18"/>
        <v>1.2218341532907271</v>
      </c>
      <c r="O18" s="301">
        <f t="shared" si="19"/>
        <v>1.0996259075157682</v>
      </c>
      <c r="P18" s="302">
        <f t="shared" si="20"/>
        <v>0.87181512789704851</v>
      </c>
      <c r="Q18" s="269">
        <f t="shared" si="21"/>
        <v>1.0023079773556502</v>
      </c>
      <c r="R18" s="314"/>
      <c r="S18" s="295">
        <v>44880</v>
      </c>
      <c r="T18" s="315">
        <f t="shared" si="22"/>
        <v>44.275333330331549</v>
      </c>
      <c r="U18" s="303">
        <f>[1]Recap!$L$65</f>
        <v>2.315724518475883</v>
      </c>
      <c r="V18" s="303">
        <f>[2]Recap!$L$65</f>
        <v>3.1752480649391739</v>
      </c>
      <c r="W18" s="303">
        <f>[3]Recap!$L$65</f>
        <v>3.1862420245183412</v>
      </c>
      <c r="X18" s="303">
        <f>[4]Recap!$L$65</f>
        <v>3.0766246561287236</v>
      </c>
      <c r="Y18" s="303">
        <f>[5]Recap!$L$65</f>
        <v>1.9109236326236418</v>
      </c>
      <c r="Z18" s="303">
        <f>[6]Recap!$L$65</f>
        <v>2.3108184040330242</v>
      </c>
      <c r="AA18" s="303">
        <f>[7]Recap!$L$65</f>
        <v>2.206865027402273</v>
      </c>
      <c r="AB18" s="303">
        <f>[8]Recap!$L$64</f>
        <v>3.3363486982918151</v>
      </c>
      <c r="AC18" s="303">
        <f>[9]Recap!$L$64</f>
        <v>3.14623853744328</v>
      </c>
      <c r="AD18" s="303">
        <f>[10]Recap!$L$64</f>
        <v>3.495067341341811</v>
      </c>
      <c r="AE18" s="303">
        <f>[11]Recap!$L$63</f>
        <v>3.3183742105715237</v>
      </c>
      <c r="AF18" s="303">
        <f>[12]Recap!$L$63</f>
        <v>3.4230968367404411</v>
      </c>
      <c r="AG18" s="303">
        <f>[13]Recap!$L$63</f>
        <v>3.5539156363515749</v>
      </c>
      <c r="AH18" s="303">
        <f>[14]Recap!$L$61</f>
        <v>3.2243383969993311</v>
      </c>
      <c r="AI18" s="303">
        <f>[15]Recap!$L$61</f>
        <v>2.5955073444707137</v>
      </c>
    </row>
    <row r="19" spans="1:35" s="316" customFormat="1" x14ac:dyDescent="0.25">
      <c r="A19" s="317">
        <v>44910</v>
      </c>
      <c r="B19" s="318">
        <f t="shared" si="17"/>
        <v>0.70839375827997653</v>
      </c>
      <c r="C19" s="319">
        <f t="shared" si="6"/>
        <v>1.1098305552254182</v>
      </c>
      <c r="D19" s="319">
        <f t="shared" si="7"/>
        <v>1.0924586306933635</v>
      </c>
      <c r="E19" s="319">
        <f t="shared" si="8"/>
        <v>1.0671681067482683</v>
      </c>
      <c r="F19" s="319">
        <f t="shared" si="9"/>
        <v>0.64935679826593995</v>
      </c>
      <c r="G19" s="319">
        <f t="shared" si="10"/>
        <v>0.76461286135684692</v>
      </c>
      <c r="H19" s="319">
        <f t="shared" si="11"/>
        <v>0.68271114301959734</v>
      </c>
      <c r="I19" s="319">
        <f t="shared" si="12"/>
        <v>1.1445744322139002</v>
      </c>
      <c r="J19" s="319">
        <f t="shared" si="13"/>
        <v>1.0798556244853896</v>
      </c>
      <c r="K19" s="319">
        <f t="shared" si="14"/>
        <v>1.2534822700163588</v>
      </c>
      <c r="L19" s="319">
        <f t="shared" si="15"/>
        <v>1.1603023318191998</v>
      </c>
      <c r="M19" s="319">
        <f t="shared" si="16"/>
        <v>1.1978435884217447</v>
      </c>
      <c r="N19" s="319">
        <f t="shared" si="18"/>
        <v>1.2414010042311916</v>
      </c>
      <c r="O19" s="319">
        <f t="shared" si="19"/>
        <v>1.107622778162427</v>
      </c>
      <c r="P19" s="320">
        <f t="shared" si="20"/>
        <v>0.78484090587362754</v>
      </c>
      <c r="Q19" s="269">
        <f t="shared" si="21"/>
        <v>1.00296365258755</v>
      </c>
      <c r="R19" s="314"/>
      <c r="S19" s="295">
        <v>44910</v>
      </c>
      <c r="T19" s="321">
        <f t="shared" si="22"/>
        <v>35.996826390647392</v>
      </c>
      <c r="U19" s="322">
        <f>[1]Recap!$M$65</f>
        <v>1.7336989716275146</v>
      </c>
      <c r="V19" s="322">
        <f>[2]Recap!$M$65</f>
        <v>2.6439990622971727</v>
      </c>
      <c r="W19" s="322">
        <f>[3]Recap!$M$65</f>
        <v>2.6056088428202466</v>
      </c>
      <c r="X19" s="322">
        <f>[4]Recap!$M$65</f>
        <v>2.5495610585938944</v>
      </c>
      <c r="Y19" s="322">
        <f>[5]Recap!$M$65</f>
        <v>1.5956184462332559</v>
      </c>
      <c r="Z19" s="322">
        <f>[6]Recap!$M$65</f>
        <v>1.8641624189385739</v>
      </c>
      <c r="AA19" s="322">
        <f>[7]Recap!$M$65</f>
        <v>1.6737668030689588</v>
      </c>
      <c r="AB19" s="322">
        <f>[8]Recap!$M$64</f>
        <v>2.7205153444219055</v>
      </c>
      <c r="AC19" s="322">
        <f>[9]Recap!$M$64</f>
        <v>2.5777020953999492</v>
      </c>
      <c r="AD19" s="322">
        <f>[10]Recap!$M$64</f>
        <v>2.9581037863221691</v>
      </c>
      <c r="AE19" s="322">
        <f>[11]Recap!$M$63</f>
        <v>2.7550375107952818</v>
      </c>
      <c r="AF19" s="322">
        <f>[12]Recap!$M$63</f>
        <v>2.8371503789140773</v>
      </c>
      <c r="AG19" s="322">
        <f>[13]Recap!$M$63</f>
        <v>2.9319152759041005</v>
      </c>
      <c r="AH19" s="322">
        <f>[14]Recap!$M$61</f>
        <v>2.6391249925482336</v>
      </c>
      <c r="AI19" s="322">
        <f>[15]Recap!$M$61</f>
        <v>1.9108614027620487</v>
      </c>
    </row>
    <row r="20" spans="1:35" x14ac:dyDescent="0.25">
      <c r="T20" s="15"/>
    </row>
    <row r="21" spans="1:35" ht="18.75" x14ac:dyDescent="0.3">
      <c r="A21" s="1" t="s">
        <v>82</v>
      </c>
      <c r="S21" s="323"/>
      <c r="T21" s="15"/>
    </row>
    <row r="22" spans="1:35" ht="33.75" x14ac:dyDescent="0.25">
      <c r="A22" s="274" t="s">
        <v>73</v>
      </c>
      <c r="B22" s="12" t="s">
        <v>5</v>
      </c>
      <c r="C22" s="12" t="s">
        <v>6</v>
      </c>
      <c r="D22" s="12" t="s">
        <v>7</v>
      </c>
      <c r="E22" s="12" t="s">
        <v>8</v>
      </c>
      <c r="F22" s="12" t="s">
        <v>9</v>
      </c>
      <c r="G22" s="12" t="s">
        <v>10</v>
      </c>
      <c r="H22" s="12" t="s">
        <v>11</v>
      </c>
      <c r="I22" s="12" t="s">
        <v>12</v>
      </c>
      <c r="J22" s="12" t="s">
        <v>13</v>
      </c>
      <c r="K22" s="12" t="s">
        <v>14</v>
      </c>
      <c r="L22" s="12" t="s">
        <v>15</v>
      </c>
      <c r="M22" s="12" t="s">
        <v>16</v>
      </c>
      <c r="N22" s="12" t="s">
        <v>17</v>
      </c>
      <c r="O22" s="12" t="s">
        <v>18</v>
      </c>
      <c r="P22" s="12" t="s">
        <v>19</v>
      </c>
      <c r="T22" s="275" t="s">
        <v>73</v>
      </c>
      <c r="U22" s="12" t="s">
        <v>5</v>
      </c>
      <c r="V22" s="12" t="s">
        <v>6</v>
      </c>
      <c r="W22" s="12" t="s">
        <v>7</v>
      </c>
      <c r="X22" s="12" t="s">
        <v>8</v>
      </c>
      <c r="Y22" s="12" t="s">
        <v>9</v>
      </c>
      <c r="Z22" s="12" t="s">
        <v>10</v>
      </c>
      <c r="AA22" s="12" t="s">
        <v>11</v>
      </c>
      <c r="AB22" s="12" t="s">
        <v>12</v>
      </c>
      <c r="AC22" s="12" t="s">
        <v>13</v>
      </c>
      <c r="AD22" s="12" t="s">
        <v>14</v>
      </c>
      <c r="AE22" s="12" t="s">
        <v>15</v>
      </c>
      <c r="AF22" s="12" t="s">
        <v>16</v>
      </c>
      <c r="AG22" s="12" t="s">
        <v>17</v>
      </c>
      <c r="AH22" s="12" t="s">
        <v>18</v>
      </c>
      <c r="AI22" s="12" t="s">
        <v>19</v>
      </c>
    </row>
    <row r="23" spans="1:35" ht="15" customHeight="1" x14ac:dyDescent="0.25">
      <c r="A23" s="324" t="s">
        <v>83</v>
      </c>
      <c r="B23" s="325">
        <v>6</v>
      </c>
      <c r="C23" s="325">
        <v>9</v>
      </c>
      <c r="D23" s="325">
        <v>9</v>
      </c>
      <c r="E23" s="325">
        <v>9</v>
      </c>
      <c r="F23" s="325">
        <v>9</v>
      </c>
      <c r="G23" s="325">
        <v>9</v>
      </c>
      <c r="H23" s="325">
        <v>9</v>
      </c>
      <c r="I23" s="325">
        <v>9</v>
      </c>
      <c r="J23" s="325">
        <v>9</v>
      </c>
      <c r="K23" s="325">
        <v>9</v>
      </c>
      <c r="L23" s="325">
        <v>35.840000000000003</v>
      </c>
      <c r="M23" s="325">
        <v>35.840000000000003</v>
      </c>
      <c r="N23" s="326">
        <v>31.05</v>
      </c>
      <c r="O23" s="325">
        <v>35.72</v>
      </c>
      <c r="P23" s="326">
        <v>9</v>
      </c>
      <c r="T23" s="327" t="s">
        <v>84</v>
      </c>
      <c r="U23" s="328">
        <f>B23</f>
        <v>6</v>
      </c>
      <c r="V23" s="329">
        <f t="shared" ref="V23:AI23" si="23">C23</f>
        <v>9</v>
      </c>
      <c r="W23" s="329">
        <f t="shared" si="23"/>
        <v>9</v>
      </c>
      <c r="X23" s="329">
        <f t="shared" si="23"/>
        <v>9</v>
      </c>
      <c r="Y23" s="329">
        <f t="shared" si="23"/>
        <v>9</v>
      </c>
      <c r="Z23" s="329">
        <f t="shared" si="23"/>
        <v>9</v>
      </c>
      <c r="AA23" s="329">
        <f t="shared" si="23"/>
        <v>9</v>
      </c>
      <c r="AB23" s="329">
        <f t="shared" si="23"/>
        <v>9</v>
      </c>
      <c r="AC23" s="329">
        <f t="shared" si="23"/>
        <v>9</v>
      </c>
      <c r="AD23" s="329">
        <f t="shared" si="23"/>
        <v>9</v>
      </c>
      <c r="AE23" s="329">
        <f t="shared" si="23"/>
        <v>35.840000000000003</v>
      </c>
      <c r="AF23" s="329">
        <f t="shared" si="23"/>
        <v>35.840000000000003</v>
      </c>
      <c r="AG23" s="328">
        <f t="shared" si="23"/>
        <v>31.05</v>
      </c>
      <c r="AH23" s="329">
        <f t="shared" si="23"/>
        <v>35.72</v>
      </c>
      <c r="AI23" s="328">
        <f t="shared" si="23"/>
        <v>9</v>
      </c>
    </row>
    <row r="24" spans="1:35" s="272" customFormat="1" ht="11.25" x14ac:dyDescent="0.2">
      <c r="A24" s="276" t="s">
        <v>74</v>
      </c>
      <c r="B24" s="277">
        <f t="shared" ref="B24:P24" si="24">+MIN(B28:B39)</f>
        <v>0.24532293150170212</v>
      </c>
      <c r="C24" s="277">
        <f t="shared" si="24"/>
        <v>0.49165497651816986</v>
      </c>
      <c r="D24" s="277">
        <f>+MIN(D28:D39)</f>
        <v>0.5116777117168706</v>
      </c>
      <c r="E24" s="277">
        <f t="shared" si="24"/>
        <v>0.53844762355252529</v>
      </c>
      <c r="F24" s="277">
        <f t="shared" si="24"/>
        <v>0.33450838371839897</v>
      </c>
      <c r="G24" s="277">
        <f t="shared" si="24"/>
        <v>0.39997126183513582</v>
      </c>
      <c r="H24" s="277">
        <f t="shared" si="24"/>
        <v>0.35807549148381501</v>
      </c>
      <c r="I24" s="277">
        <f t="shared" si="24"/>
        <v>0.52567247199735645</v>
      </c>
      <c r="J24" s="277">
        <f t="shared" si="24"/>
        <v>0.54899973034617366</v>
      </c>
      <c r="K24" s="277">
        <f t="shared" si="24"/>
        <v>0.53683779144424959</v>
      </c>
      <c r="L24" s="277">
        <f t="shared" si="24"/>
        <v>2.5742860761827782</v>
      </c>
      <c r="M24" s="277">
        <f t="shared" si="24"/>
        <v>2.5339376534520395</v>
      </c>
      <c r="N24" s="278">
        <f t="shared" si="24"/>
        <v>2.281817147672252</v>
      </c>
      <c r="O24" s="278">
        <f t="shared" si="24"/>
        <v>2.5380351652303568</v>
      </c>
      <c r="P24" s="278">
        <f t="shared" si="24"/>
        <v>0.41028454615934312</v>
      </c>
      <c r="Q24" s="279"/>
      <c r="T24" s="280" t="s">
        <v>74</v>
      </c>
      <c r="U24" s="330">
        <f t="shared" ref="U24:AG24" si="25">+MIN(U28:U39)</f>
        <v>10.402193829765087</v>
      </c>
      <c r="V24" s="281">
        <f t="shared" si="25"/>
        <v>23.795991560674555</v>
      </c>
      <c r="W24" s="281">
        <f>+MIN(W28:W39)</f>
        <v>23.450479585382219</v>
      </c>
      <c r="X24" s="281">
        <f t="shared" si="25"/>
        <v>22.94604952734505</v>
      </c>
      <c r="Y24" s="281">
        <f t="shared" si="25"/>
        <v>14.360566016099304</v>
      </c>
      <c r="Z24" s="281">
        <f t="shared" si="25"/>
        <v>16.777461770447164</v>
      </c>
      <c r="AA24" s="281">
        <f t="shared" si="25"/>
        <v>15.063901227620629</v>
      </c>
      <c r="AB24" s="281">
        <f t="shared" si="25"/>
        <v>24.484638099797149</v>
      </c>
      <c r="AC24" s="281">
        <f t="shared" si="25"/>
        <v>23.199318858599543</v>
      </c>
      <c r="AD24" s="281">
        <f t="shared" si="25"/>
        <v>26.622934076899522</v>
      </c>
      <c r="AE24" s="281">
        <f t="shared" si="25"/>
        <v>98.740544386902911</v>
      </c>
      <c r="AF24" s="281">
        <f t="shared" si="25"/>
        <v>101.68346958028054</v>
      </c>
      <c r="AG24" s="281">
        <f t="shared" si="25"/>
        <v>91.035969316822317</v>
      </c>
      <c r="AH24" s="281">
        <f>+MIN(AH28:AH39)</f>
        <v>94.269544733822897</v>
      </c>
      <c r="AI24" s="281">
        <f t="shared" ref="AI24" si="26">+MIN(AI28:AI39)</f>
        <v>17.197752624858438</v>
      </c>
    </row>
    <row r="25" spans="1:35" s="272" customFormat="1" ht="11.25" x14ac:dyDescent="0.2">
      <c r="A25" s="282" t="s">
        <v>75</v>
      </c>
      <c r="B25" s="277">
        <f t="shared" ref="B25:P25" si="27">+AVERAGE(B28:B39)</f>
        <v>0.32787563249957502</v>
      </c>
      <c r="C25" s="277">
        <f t="shared" si="27"/>
        <v>0.53227642209121284</v>
      </c>
      <c r="D25" s="277">
        <f>+AVERAGE(D28:D39)</f>
        <v>0.54286381310001353</v>
      </c>
      <c r="E25" s="277">
        <f t="shared" si="27"/>
        <v>0.54532598748269845</v>
      </c>
      <c r="F25" s="277">
        <f t="shared" si="27"/>
        <v>0.42456436294094857</v>
      </c>
      <c r="G25" s="277">
        <f t="shared" si="27"/>
        <v>0.47134619493121699</v>
      </c>
      <c r="H25" s="277">
        <f t="shared" si="27"/>
        <v>0.46453361852954772</v>
      </c>
      <c r="I25" s="277">
        <f t="shared" si="27"/>
        <v>0.56282598098934289</v>
      </c>
      <c r="J25" s="277">
        <f t="shared" si="27"/>
        <v>0.55928431085422459</v>
      </c>
      <c r="K25" s="277">
        <f t="shared" si="27"/>
        <v>0.58862929280459997</v>
      </c>
      <c r="L25" s="277">
        <f t="shared" si="27"/>
        <v>2.6273333986967211</v>
      </c>
      <c r="M25" s="277">
        <f t="shared" si="27"/>
        <v>2.6701748552928084</v>
      </c>
      <c r="N25" s="278">
        <f t="shared" si="27"/>
        <v>2.3652651096381909</v>
      </c>
      <c r="O25" s="278">
        <f t="shared" si="27"/>
        <v>2.5862815672300705</v>
      </c>
      <c r="P25" s="278">
        <f t="shared" si="27"/>
        <v>0.51727687937744771</v>
      </c>
      <c r="Q25" s="279"/>
      <c r="T25" s="283" t="s">
        <v>75</v>
      </c>
      <c r="U25" s="330">
        <f t="shared" ref="U25:AI25" si="28">+AVERAGE(U28:U39)</f>
        <v>27.599118955056184</v>
      </c>
      <c r="V25" s="281">
        <f t="shared" si="28"/>
        <v>42.067373993584241</v>
      </c>
      <c r="W25" s="281">
        <f>+AVERAGE(W28:W39)</f>
        <v>43.137425457517772</v>
      </c>
      <c r="X25" s="281">
        <f t="shared" si="28"/>
        <v>43.698151210582573</v>
      </c>
      <c r="Y25" s="281">
        <f t="shared" si="28"/>
        <v>35.78395314265186</v>
      </c>
      <c r="Z25" s="281">
        <f t="shared" si="28"/>
        <v>39.264849337831642</v>
      </c>
      <c r="AA25" s="281">
        <f t="shared" si="28"/>
        <v>38.995930431050091</v>
      </c>
      <c r="AB25" s="281">
        <f t="shared" si="28"/>
        <v>44.558634320472805</v>
      </c>
      <c r="AC25" s="281">
        <f t="shared" si="28"/>
        <v>44.783160322278512</v>
      </c>
      <c r="AD25" s="281">
        <f t="shared" si="28"/>
        <v>46.251500879377318</v>
      </c>
      <c r="AE25" s="281">
        <f t="shared" si="28"/>
        <v>183.72692648199947</v>
      </c>
      <c r="AF25" s="281">
        <f t="shared" si="28"/>
        <v>185.35886566769747</v>
      </c>
      <c r="AG25" s="281">
        <f t="shared" si="28"/>
        <v>167.54430490403075</v>
      </c>
      <c r="AH25" s="281">
        <f t="shared" si="28"/>
        <v>181.77029607399848</v>
      </c>
      <c r="AI25" s="281">
        <f t="shared" si="28"/>
        <v>42.933830730431715</v>
      </c>
    </row>
    <row r="26" spans="1:35" s="272" customFormat="1" ht="11.25" x14ac:dyDescent="0.2">
      <c r="A26" s="282" t="s">
        <v>76</v>
      </c>
      <c r="B26" s="277">
        <f t="shared" ref="B26:P26" si="29">+MAX(B28:B39)</f>
        <v>0.366754417691324</v>
      </c>
      <c r="C26" s="277">
        <f t="shared" si="29"/>
        <v>0.5831846470717208</v>
      </c>
      <c r="D26" s="277">
        <f>+MAX(D28:D39)</f>
        <v>0.56679178417704956</v>
      </c>
      <c r="E26" s="277">
        <f t="shared" si="29"/>
        <v>0.55846127426337555</v>
      </c>
      <c r="F26" s="277">
        <f t="shared" si="29"/>
        <v>0.51033631052094608</v>
      </c>
      <c r="G26" s="277">
        <f t="shared" si="29"/>
        <v>0.54128652305846658</v>
      </c>
      <c r="H26" s="277">
        <f t="shared" si="29"/>
        <v>0.5410961345671268</v>
      </c>
      <c r="I26" s="277">
        <f t="shared" si="29"/>
        <v>0.5964302945627914</v>
      </c>
      <c r="J26" s="277">
        <f t="shared" si="29"/>
        <v>0.57013966434223617</v>
      </c>
      <c r="K26" s="277">
        <f t="shared" si="29"/>
        <v>0.64550742943557726</v>
      </c>
      <c r="L26" s="277">
        <f t="shared" si="29"/>
        <v>2.7357891122759779</v>
      </c>
      <c r="M26" s="277">
        <f t="shared" si="29"/>
        <v>2.8338331764867113</v>
      </c>
      <c r="N26" s="284">
        <f t="shared" si="29"/>
        <v>2.484437379196172</v>
      </c>
      <c r="O26" s="284">
        <f t="shared" si="29"/>
        <v>2.6206779554445139</v>
      </c>
      <c r="P26" s="284">
        <f t="shared" si="29"/>
        <v>0.5854534162616285</v>
      </c>
      <c r="Q26" s="279"/>
      <c r="T26" s="283" t="s">
        <v>76</v>
      </c>
      <c r="U26" s="331">
        <f t="shared" ref="U26:AI26" si="30">+MAX(U28:U39)</f>
        <v>40.702939888357385</v>
      </c>
      <c r="V26" s="281">
        <f t="shared" si="30"/>
        <v>56.52239931198929</v>
      </c>
      <c r="W26" s="281">
        <f>+MAX(W28:W39)</f>
        <v>57.666218996511816</v>
      </c>
      <c r="X26" s="281">
        <f t="shared" si="30"/>
        <v>60.235685704136543</v>
      </c>
      <c r="Y26" s="281">
        <f t="shared" si="30"/>
        <v>56.251478906461564</v>
      </c>
      <c r="Z26" s="281">
        <f t="shared" si="30"/>
        <v>59.714420199492707</v>
      </c>
      <c r="AA26" s="281">
        <f t="shared" si="30"/>
        <v>59.61097961932451</v>
      </c>
      <c r="AB26" s="281">
        <f t="shared" si="30"/>
        <v>59.160974330312186</v>
      </c>
      <c r="AC26" s="281">
        <f t="shared" si="30"/>
        <v>61.152405459454855</v>
      </c>
      <c r="AD26" s="281">
        <f t="shared" si="30"/>
        <v>60.426860593802914</v>
      </c>
      <c r="AE26" s="281">
        <f t="shared" si="30"/>
        <v>251.01843383942679</v>
      </c>
      <c r="AF26" s="281">
        <f t="shared" si="30"/>
        <v>248.35131281729113</v>
      </c>
      <c r="AG26" s="281">
        <f t="shared" si="30"/>
        <v>224.8188924573588</v>
      </c>
      <c r="AH26" s="281">
        <f t="shared" si="30"/>
        <v>248.30893505730145</v>
      </c>
      <c r="AI26" s="281">
        <f t="shared" si="30"/>
        <v>64.391308072287032</v>
      </c>
    </row>
    <row r="27" spans="1:35" ht="38.25" x14ac:dyDescent="0.25">
      <c r="A27" s="285" t="s">
        <v>77</v>
      </c>
      <c r="B27" s="286" t="s">
        <v>78</v>
      </c>
      <c r="C27" s="286" t="s">
        <v>78</v>
      </c>
      <c r="D27" s="286" t="s">
        <v>78</v>
      </c>
      <c r="E27" s="286" t="s">
        <v>78</v>
      </c>
      <c r="F27" s="286" t="s">
        <v>78</v>
      </c>
      <c r="G27" s="286" t="s">
        <v>78</v>
      </c>
      <c r="H27" s="286" t="s">
        <v>78</v>
      </c>
      <c r="I27" s="286" t="s">
        <v>78</v>
      </c>
      <c r="J27" s="286" t="s">
        <v>78</v>
      </c>
      <c r="K27" s="286" t="s">
        <v>78</v>
      </c>
      <c r="L27" s="286" t="s">
        <v>78</v>
      </c>
      <c r="M27" s="286" t="s">
        <v>78</v>
      </c>
      <c r="N27" s="286" t="s">
        <v>78</v>
      </c>
      <c r="O27" s="286" t="s">
        <v>78</v>
      </c>
      <c r="P27" s="286" t="s">
        <v>78</v>
      </c>
      <c r="S27" s="287" t="s">
        <v>77</v>
      </c>
      <c r="T27" s="288" t="s">
        <v>80</v>
      </c>
      <c r="U27" s="289" t="s">
        <v>85</v>
      </c>
      <c r="V27" s="289" t="s">
        <v>85</v>
      </c>
      <c r="W27" s="289" t="s">
        <v>85</v>
      </c>
      <c r="X27" s="289" t="s">
        <v>85</v>
      </c>
      <c r="Y27" s="289" t="s">
        <v>85</v>
      </c>
      <c r="Z27" s="289" t="s">
        <v>85</v>
      </c>
      <c r="AA27" s="289" t="s">
        <v>85</v>
      </c>
      <c r="AB27" s="289" t="s">
        <v>85</v>
      </c>
      <c r="AC27" s="289" t="s">
        <v>85</v>
      </c>
      <c r="AD27" s="289" t="s">
        <v>85</v>
      </c>
      <c r="AE27" s="289" t="s">
        <v>85</v>
      </c>
      <c r="AF27" s="289" t="s">
        <v>85</v>
      </c>
      <c r="AG27" s="289" t="s">
        <v>85</v>
      </c>
      <c r="AH27" s="289" t="s">
        <v>85</v>
      </c>
      <c r="AI27" s="289" t="s">
        <v>85</v>
      </c>
    </row>
    <row r="28" spans="1:35" s="298" customFormat="1" x14ac:dyDescent="0.25">
      <c r="A28" s="290">
        <v>44941</v>
      </c>
      <c r="B28" s="291">
        <f>+U28/($T28-U28)*(Nserv-1)</f>
        <v>0.27961892631380403</v>
      </c>
      <c r="C28" s="291">
        <f t="shared" ref="C28:C39" si="31">+V28/($T28-V28)*(Nserv-1)</f>
        <v>0.5831846470717208</v>
      </c>
      <c r="D28" s="291">
        <f t="shared" ref="D28:D39" si="32">+W28/($T28-W28)*(Nserv-1)</f>
        <v>0.56539406386545688</v>
      </c>
      <c r="E28" s="291">
        <f t="shared" ref="E28:E39" si="33">+X28/($T28-X28)*(Nserv-1)</f>
        <v>0.55846127426337555</v>
      </c>
      <c r="F28" s="291">
        <f t="shared" ref="F28:F39" si="34">+Y28/($T28-Y28)*(Nserv-1)</f>
        <v>0.36507631040669597</v>
      </c>
      <c r="G28" s="291">
        <f t="shared" ref="G28:G39" si="35">+Z28/($T28-Z28)*(Nserv-1)</f>
        <v>0.40221470633676731</v>
      </c>
      <c r="H28" s="291">
        <f t="shared" ref="H28:H39" si="36">+AA28/($T28-AA28)*(Nserv-1)</f>
        <v>0.3815853940278241</v>
      </c>
      <c r="I28" s="291">
        <f t="shared" ref="I28:I39" si="37">+AB28/($T28-AB28)*(Nserv-1)</f>
        <v>0.5964302945627914</v>
      </c>
      <c r="J28" s="291">
        <f t="shared" ref="J28:J39" si="38">+AC28/($T28-AC28)*(Nserv-1)</f>
        <v>0.5623197342967714</v>
      </c>
      <c r="K28" s="291">
        <f t="shared" ref="K28:K39" si="39">+AD28/($T28-AD28)*(Nserv-1)</f>
        <v>0.63893256296257661</v>
      </c>
      <c r="L28" s="291">
        <f t="shared" ref="L28:L39" si="40">+AE28/($T28-AE28)*(Nserv-1)</f>
        <v>2.6735430483823985</v>
      </c>
      <c r="M28" s="291">
        <f t="shared" ref="M28:M39" si="41">+AF28/($T28-AF28)*(Nserv-1)</f>
        <v>2.7856080975657518</v>
      </c>
      <c r="N28" s="332">
        <f t="shared" ref="N28:N39" si="42">+AG28/($T28-AG28)*(Nserv-1)</f>
        <v>2.417864383631037</v>
      </c>
      <c r="O28" s="291">
        <f t="shared" ref="O28:O39" si="43">+AH28/($T28-AH28)*(Nserv-1)</f>
        <v>2.6065771411710439</v>
      </c>
      <c r="P28" s="332">
        <f t="shared" ref="P28:P39" si="44">+AI28/($T28-AI28)*(Nserv-1)</f>
        <v>0.42889226724907281</v>
      </c>
      <c r="Q28" s="269">
        <f t="shared" ref="Q28:Q39" si="45">AVERAGE(B28:P28)</f>
        <v>1.0563801901404726</v>
      </c>
      <c r="R28" s="4"/>
      <c r="S28" s="295">
        <v>44941</v>
      </c>
      <c r="T28" s="333">
        <f>SUM(U28:AI28)</f>
        <v>697.4039416065383</v>
      </c>
      <c r="U28" s="297">
        <f>U8*U$23</f>
        <v>13.656340716465818</v>
      </c>
      <c r="V28" s="297">
        <f t="shared" ref="U28:AI39" si="46">V8*V$23</f>
        <v>27.889331541441035</v>
      </c>
      <c r="W28" s="297">
        <f t="shared" si="46"/>
        <v>27.07156750938357</v>
      </c>
      <c r="X28" s="297">
        <f t="shared" si="46"/>
        <v>26.752352914823724</v>
      </c>
      <c r="Y28" s="297">
        <f t="shared" si="46"/>
        <v>17.723933542932468</v>
      </c>
      <c r="Z28" s="297">
        <f t="shared" si="46"/>
        <v>19.476596293760231</v>
      </c>
      <c r="AA28" s="297">
        <f t="shared" si="46"/>
        <v>18.504160046568902</v>
      </c>
      <c r="AB28" s="297">
        <f t="shared" si="46"/>
        <v>28.496887932701114</v>
      </c>
      <c r="AC28" s="297">
        <f t="shared" si="46"/>
        <v>26.930050039905108</v>
      </c>
      <c r="AD28" s="297">
        <f t="shared" si="46"/>
        <v>30.438974010868098</v>
      </c>
      <c r="AE28" s="297">
        <f t="shared" si="46"/>
        <v>111.82623000919621</v>
      </c>
      <c r="AF28" s="297">
        <f t="shared" si="46"/>
        <v>115.73569785030161</v>
      </c>
      <c r="AG28" s="297">
        <f t="shared" si="46"/>
        <v>102.70691193524257</v>
      </c>
      <c r="AH28" s="297">
        <f>AH8*AH$23</f>
        <v>109.46489194617982</v>
      </c>
      <c r="AI28" s="297">
        <f t="shared" ref="AI28" si="47">AI8*AI$23</f>
        <v>20.730015316767968</v>
      </c>
    </row>
    <row r="29" spans="1:35" s="298" customFormat="1" x14ac:dyDescent="0.25">
      <c r="A29" s="299">
        <v>44972</v>
      </c>
      <c r="B29" s="300">
        <f t="shared" ref="B29:B39" si="48">+U29/($T29-U29)*(Nserv-1)</f>
        <v>0.31722423779618608</v>
      </c>
      <c r="C29" s="300">
        <f t="shared" si="31"/>
        <v>0.55826165712956022</v>
      </c>
      <c r="D29" s="300">
        <f t="shared" si="32"/>
        <v>0.5617415178070575</v>
      </c>
      <c r="E29" s="300">
        <f t="shared" si="33"/>
        <v>0.54794796213170616</v>
      </c>
      <c r="F29" s="300">
        <f t="shared" si="34"/>
        <v>0.38232841291136432</v>
      </c>
      <c r="G29" s="300">
        <f t="shared" si="35"/>
        <v>0.42046231339747087</v>
      </c>
      <c r="H29" s="300">
        <f t="shared" si="36"/>
        <v>0.42799518025208433</v>
      </c>
      <c r="I29" s="300">
        <f t="shared" si="37"/>
        <v>0.59263916261222915</v>
      </c>
      <c r="J29" s="300">
        <f t="shared" si="38"/>
        <v>0.56647399394636377</v>
      </c>
      <c r="K29" s="300">
        <f t="shared" si="39"/>
        <v>0.62396285005795005</v>
      </c>
      <c r="L29" s="300">
        <f t="shared" si="40"/>
        <v>2.6311821008307388</v>
      </c>
      <c r="M29" s="300">
        <f t="shared" si="41"/>
        <v>2.7031776187789873</v>
      </c>
      <c r="N29" s="334">
        <f t="shared" si="42"/>
        <v>2.3763206331748572</v>
      </c>
      <c r="O29" s="300">
        <f t="shared" si="43"/>
        <v>2.6206779554445139</v>
      </c>
      <c r="P29" s="334">
        <f t="shared" si="44"/>
        <v>0.47559845272446155</v>
      </c>
      <c r="Q29" s="269">
        <f t="shared" si="45"/>
        <v>1.0537329365997021</v>
      </c>
      <c r="R29" s="4"/>
      <c r="S29" s="295">
        <v>44972</v>
      </c>
      <c r="T29" s="333">
        <f t="shared" ref="T29:T39" si="49">SUM(U29:AI29)</f>
        <v>936.79076263149977</v>
      </c>
      <c r="U29" s="303">
        <f t="shared" si="46"/>
        <v>20.756309373556924</v>
      </c>
      <c r="V29" s="303">
        <f t="shared" si="46"/>
        <v>35.92285781415471</v>
      </c>
      <c r="W29" s="303">
        <f t="shared" si="46"/>
        <v>36.138140772842014</v>
      </c>
      <c r="X29" s="303">
        <f t="shared" si="46"/>
        <v>35.284192015526123</v>
      </c>
      <c r="Y29" s="303">
        <f t="shared" si="46"/>
        <v>24.902902730645302</v>
      </c>
      <c r="Z29" s="303">
        <f t="shared" si="46"/>
        <v>27.314326175207192</v>
      </c>
      <c r="AA29" s="303">
        <f t="shared" si="46"/>
        <v>27.789164489029933</v>
      </c>
      <c r="AB29" s="303">
        <f t="shared" si="46"/>
        <v>38.045132681086656</v>
      </c>
      <c r="AC29" s="303">
        <f t="shared" si="46"/>
        <v>36.430752220507465</v>
      </c>
      <c r="AD29" s="303">
        <f t="shared" si="46"/>
        <v>39.970194136344851</v>
      </c>
      <c r="AE29" s="303">
        <f t="shared" si="46"/>
        <v>148.20757008826556</v>
      </c>
      <c r="AF29" s="303">
        <f t="shared" si="46"/>
        <v>151.60659132172256</v>
      </c>
      <c r="AG29" s="303">
        <f t="shared" si="46"/>
        <v>135.93500445388318</v>
      </c>
      <c r="AH29" s="303">
        <f t="shared" si="46"/>
        <v>147.70919135029754</v>
      </c>
      <c r="AI29" s="303">
        <f t="shared" si="46"/>
        <v>30.778433008429779</v>
      </c>
    </row>
    <row r="30" spans="1:35" s="298" customFormat="1" x14ac:dyDescent="0.25">
      <c r="A30" s="299">
        <v>45000</v>
      </c>
      <c r="B30" s="300">
        <f t="shared" si="48"/>
        <v>0.34341306978011404</v>
      </c>
      <c r="C30" s="300">
        <f t="shared" si="31"/>
        <v>0.52495182475677271</v>
      </c>
      <c r="D30" s="300">
        <f t="shared" si="32"/>
        <v>0.54559538640400496</v>
      </c>
      <c r="E30" s="300">
        <f t="shared" si="33"/>
        <v>0.5395514004528883</v>
      </c>
      <c r="F30" s="300">
        <f t="shared" si="34"/>
        <v>0.41509197471909198</v>
      </c>
      <c r="G30" s="300">
        <f t="shared" si="35"/>
        <v>0.4546858324802262</v>
      </c>
      <c r="H30" s="300">
        <f t="shared" si="36"/>
        <v>0.47992126412691349</v>
      </c>
      <c r="I30" s="300">
        <f t="shared" si="37"/>
        <v>0.57956644537228552</v>
      </c>
      <c r="J30" s="300">
        <f t="shared" si="38"/>
        <v>0.5654879022167516</v>
      </c>
      <c r="K30" s="300">
        <f t="shared" si="39"/>
        <v>0.60081714370221584</v>
      </c>
      <c r="L30" s="300">
        <f t="shared" si="40"/>
        <v>2.5885318844461542</v>
      </c>
      <c r="M30" s="300">
        <f t="shared" si="41"/>
        <v>2.6817715407058529</v>
      </c>
      <c r="N30" s="334">
        <f t="shared" si="42"/>
        <v>2.3392473178360631</v>
      </c>
      <c r="O30" s="300">
        <f t="shared" si="43"/>
        <v>2.5962080517509203</v>
      </c>
      <c r="P30" s="334">
        <f t="shared" si="44"/>
        <v>0.5193838831428722</v>
      </c>
      <c r="Q30" s="269">
        <f t="shared" si="45"/>
        <v>1.0516149947928752</v>
      </c>
      <c r="R30" s="4"/>
      <c r="S30" s="295">
        <v>45000</v>
      </c>
      <c r="T30" s="333">
        <f t="shared" si="49"/>
        <v>1208.3592389387832</v>
      </c>
      <c r="U30" s="303">
        <f t="shared" si="46"/>
        <v>28.930795872804865</v>
      </c>
      <c r="V30" s="303">
        <f t="shared" si="46"/>
        <v>43.671772209354067</v>
      </c>
      <c r="W30" s="303">
        <f t="shared" si="46"/>
        <v>45.324732908485103</v>
      </c>
      <c r="X30" s="303">
        <f t="shared" si="46"/>
        <v>44.841267908671419</v>
      </c>
      <c r="Y30" s="303">
        <f t="shared" si="46"/>
        <v>34.79549235903734</v>
      </c>
      <c r="Z30" s="303">
        <f t="shared" si="46"/>
        <v>38.010084263296612</v>
      </c>
      <c r="AA30" s="303">
        <f t="shared" si="46"/>
        <v>40.04975461487102</v>
      </c>
      <c r="AB30" s="303">
        <f t="shared" si="46"/>
        <v>48.034656686708367</v>
      </c>
      <c r="AC30" s="303">
        <f t="shared" si="46"/>
        <v>46.913123387217823</v>
      </c>
      <c r="AD30" s="303">
        <f t="shared" si="46"/>
        <v>49.723446253727701</v>
      </c>
      <c r="AE30" s="303">
        <f t="shared" si="46"/>
        <v>188.55655459124196</v>
      </c>
      <c r="AF30" s="303">
        <f t="shared" si="46"/>
        <v>194.25655183129885</v>
      </c>
      <c r="AG30" s="303">
        <f t="shared" si="46"/>
        <v>172.99763285817812</v>
      </c>
      <c r="AH30" s="303">
        <f t="shared" si="46"/>
        <v>189.02823920729949</v>
      </c>
      <c r="AI30" s="303">
        <f t="shared" si="46"/>
        <v>43.225133986590336</v>
      </c>
    </row>
    <row r="31" spans="1:35" s="298" customFormat="1" x14ac:dyDescent="0.25">
      <c r="A31" s="299">
        <v>45031</v>
      </c>
      <c r="B31" s="300">
        <f t="shared" si="48"/>
        <v>0.35027180232824123</v>
      </c>
      <c r="C31" s="300">
        <f t="shared" si="31"/>
        <v>0.49982280345144531</v>
      </c>
      <c r="D31" s="300">
        <f t="shared" si="32"/>
        <v>0.53347784202430326</v>
      </c>
      <c r="E31" s="300">
        <f t="shared" si="33"/>
        <v>0.5426061175724548</v>
      </c>
      <c r="F31" s="300">
        <f t="shared" si="34"/>
        <v>0.45327645728644206</v>
      </c>
      <c r="G31" s="300">
        <f t="shared" si="35"/>
        <v>0.4940656042280242</v>
      </c>
      <c r="H31" s="300">
        <f t="shared" si="36"/>
        <v>0.52234150170402915</v>
      </c>
      <c r="I31" s="300">
        <f t="shared" si="37"/>
        <v>0.56432257426843613</v>
      </c>
      <c r="J31" s="300">
        <f t="shared" si="38"/>
        <v>0.57013966434223617</v>
      </c>
      <c r="K31" s="300">
        <f t="shared" si="39"/>
        <v>0.58002205983158128</v>
      </c>
      <c r="L31" s="300">
        <f t="shared" si="40"/>
        <v>2.5742860761827782</v>
      </c>
      <c r="M31" s="300">
        <f t="shared" si="41"/>
        <v>2.640644757866057</v>
      </c>
      <c r="N31" s="334">
        <f t="shared" si="42"/>
        <v>2.2863290263628429</v>
      </c>
      <c r="O31" s="300">
        <f t="shared" si="43"/>
        <v>2.566407600307977</v>
      </c>
      <c r="P31" s="334">
        <f t="shared" si="44"/>
        <v>0.56393231720334047</v>
      </c>
      <c r="Q31" s="269">
        <f t="shared" si="45"/>
        <v>1.0494630803306793</v>
      </c>
      <c r="R31" s="4"/>
      <c r="S31" s="295">
        <v>45031</v>
      </c>
      <c r="T31" s="333">
        <f t="shared" si="49"/>
        <v>1428.8156271185317</v>
      </c>
      <c r="U31" s="303">
        <f t="shared" si="46"/>
        <v>34.875564156517619</v>
      </c>
      <c r="V31" s="303">
        <f t="shared" si="46"/>
        <v>49.25264550071789</v>
      </c>
      <c r="W31" s="303">
        <f t="shared" si="46"/>
        <v>52.447286581449568</v>
      </c>
      <c r="X31" s="303">
        <f t="shared" si="46"/>
        <v>53.311221791314956</v>
      </c>
      <c r="Y31" s="303">
        <f t="shared" si="46"/>
        <v>44.809804025390385</v>
      </c>
      <c r="Z31" s="303">
        <f t="shared" si="46"/>
        <v>48.704668201366232</v>
      </c>
      <c r="AA31" s="303">
        <f t="shared" si="46"/>
        <v>51.391829632962754</v>
      </c>
      <c r="AB31" s="303">
        <f t="shared" si="46"/>
        <v>55.36219818936555</v>
      </c>
      <c r="AC31" s="303">
        <f t="shared" si="46"/>
        <v>55.910545871152245</v>
      </c>
      <c r="AD31" s="303">
        <f t="shared" si="46"/>
        <v>56.841106258958334</v>
      </c>
      <c r="AE31" s="303">
        <f t="shared" si="46"/>
        <v>221.92088138318906</v>
      </c>
      <c r="AF31" s="303">
        <f t="shared" si="46"/>
        <v>226.73367231904601</v>
      </c>
      <c r="AG31" s="303">
        <f t="shared" si="46"/>
        <v>200.58188903797893</v>
      </c>
      <c r="AH31" s="303">
        <f t="shared" si="46"/>
        <v>221.34691922029242</v>
      </c>
      <c r="AI31" s="303">
        <f t="shared" si="46"/>
        <v>55.325394948829576</v>
      </c>
    </row>
    <row r="32" spans="1:35" s="298" customFormat="1" x14ac:dyDescent="0.25">
      <c r="A32" s="299">
        <v>45061</v>
      </c>
      <c r="B32" s="300">
        <f t="shared" si="48"/>
        <v>0.366754417691324</v>
      </c>
      <c r="C32" s="300">
        <f t="shared" si="31"/>
        <v>0.51453463281080902</v>
      </c>
      <c r="D32" s="300">
        <f t="shared" si="32"/>
        <v>0.52533776757691686</v>
      </c>
      <c r="E32" s="300">
        <f t="shared" si="33"/>
        <v>0.54966457335437657</v>
      </c>
      <c r="F32" s="300">
        <f t="shared" si="34"/>
        <v>0.51033631052094608</v>
      </c>
      <c r="G32" s="300">
        <f t="shared" si="35"/>
        <v>0.54035933450252116</v>
      </c>
      <c r="H32" s="300">
        <f t="shared" si="36"/>
        <v>0.5410961345671268</v>
      </c>
      <c r="I32" s="300">
        <f t="shared" si="37"/>
        <v>0.53947967820050824</v>
      </c>
      <c r="J32" s="300">
        <f t="shared" si="38"/>
        <v>0.55836348664078816</v>
      </c>
      <c r="K32" s="300">
        <f t="shared" si="39"/>
        <v>0.5514778071385219</v>
      </c>
      <c r="L32" s="300">
        <f t="shared" si="40"/>
        <v>2.5817141578213332</v>
      </c>
      <c r="M32" s="300">
        <f t="shared" si="41"/>
        <v>2.5339376534520395</v>
      </c>
      <c r="N32" s="334">
        <f t="shared" si="42"/>
        <v>2.2822001395835301</v>
      </c>
      <c r="O32" s="300">
        <f t="shared" si="43"/>
        <v>2.5380351652303568</v>
      </c>
      <c r="P32" s="334">
        <f t="shared" si="44"/>
        <v>0.57711831347457099</v>
      </c>
      <c r="Q32" s="269">
        <f t="shared" si="45"/>
        <v>1.0473606381710445</v>
      </c>
      <c r="R32" s="4"/>
      <c r="S32" s="295">
        <v>45061</v>
      </c>
      <c r="T32" s="333">
        <f t="shared" si="49"/>
        <v>1594.4433474997682</v>
      </c>
      <c r="U32" s="303">
        <f t="shared" si="46"/>
        <v>40.702939888357385</v>
      </c>
      <c r="V32" s="303">
        <f t="shared" si="46"/>
        <v>56.52239931198929</v>
      </c>
      <c r="W32" s="303">
        <f t="shared" si="46"/>
        <v>57.666218996511816</v>
      </c>
      <c r="X32" s="303">
        <f t="shared" si="46"/>
        <v>60.235685704136543</v>
      </c>
      <c r="Y32" s="303">
        <f t="shared" si="46"/>
        <v>56.077427695987367</v>
      </c>
      <c r="Z32" s="303">
        <f t="shared" si="46"/>
        <v>59.253855172102888</v>
      </c>
      <c r="AA32" s="303">
        <f t="shared" si="46"/>
        <v>59.331643511211659</v>
      </c>
      <c r="AB32" s="303">
        <f t="shared" si="46"/>
        <v>59.160974330312186</v>
      </c>
      <c r="AC32" s="303">
        <f t="shared" si="46"/>
        <v>61.152405459454855</v>
      </c>
      <c r="AD32" s="303">
        <f t="shared" si="46"/>
        <v>60.426860593802914</v>
      </c>
      <c r="AE32" s="303">
        <f t="shared" si="46"/>
        <v>248.24918129122082</v>
      </c>
      <c r="AF32" s="303">
        <f t="shared" si="46"/>
        <v>244.35921552433334</v>
      </c>
      <c r="AG32" s="303">
        <f t="shared" si="46"/>
        <v>223.48569597640858</v>
      </c>
      <c r="AH32" s="303">
        <f t="shared" si="46"/>
        <v>244.69371630252243</v>
      </c>
      <c r="AI32" s="303">
        <f t="shared" si="46"/>
        <v>63.125127741415909</v>
      </c>
    </row>
    <row r="33" spans="1:35" s="298" customFormat="1" x14ac:dyDescent="0.25">
      <c r="A33" s="299">
        <v>45092</v>
      </c>
      <c r="B33" s="300">
        <f t="shared" si="48"/>
        <v>0.36138958931183718</v>
      </c>
      <c r="C33" s="300">
        <f t="shared" si="31"/>
        <v>0.49952582040189319</v>
      </c>
      <c r="D33" s="300">
        <f t="shared" si="32"/>
        <v>0.51291834277812776</v>
      </c>
      <c r="E33" s="300">
        <f t="shared" si="33"/>
        <v>0.54564648901662494</v>
      </c>
      <c r="F33" s="300">
        <f t="shared" si="34"/>
        <v>0.50875568473076738</v>
      </c>
      <c r="G33" s="300">
        <f t="shared" si="35"/>
        <v>0.54128652305846658</v>
      </c>
      <c r="H33" s="300">
        <f t="shared" si="36"/>
        <v>0.54031268968800816</v>
      </c>
      <c r="I33" s="300">
        <f t="shared" si="37"/>
        <v>0.53360517204729796</v>
      </c>
      <c r="J33" s="300">
        <f t="shared" si="38"/>
        <v>0.55015658297824122</v>
      </c>
      <c r="K33" s="300">
        <f t="shared" si="39"/>
        <v>0.54077345795273768</v>
      </c>
      <c r="L33" s="300">
        <f t="shared" si="40"/>
        <v>2.5970597074535329</v>
      </c>
      <c r="M33" s="300">
        <f t="shared" si="41"/>
        <v>2.564410924152368</v>
      </c>
      <c r="N33" s="334">
        <f t="shared" si="42"/>
        <v>2.281817147672252</v>
      </c>
      <c r="O33" s="300">
        <f t="shared" si="43"/>
        <v>2.5638932058227799</v>
      </c>
      <c r="P33" s="334">
        <f t="shared" si="44"/>
        <v>0.5854534162616285</v>
      </c>
      <c r="Q33" s="269">
        <f t="shared" si="45"/>
        <v>1.0484669835551041</v>
      </c>
      <c r="R33" s="4"/>
      <c r="S33" s="295">
        <v>45092</v>
      </c>
      <c r="T33" s="333">
        <f t="shared" si="49"/>
        <v>1604.1864275001396</v>
      </c>
      <c r="U33" s="303">
        <f t="shared" si="46"/>
        <v>40.367700535424184</v>
      </c>
      <c r="V33" s="303">
        <f t="shared" si="46"/>
        <v>55.266120506303444</v>
      </c>
      <c r="W33" s="303">
        <f t="shared" si="46"/>
        <v>56.695464307492927</v>
      </c>
      <c r="X33" s="303">
        <f t="shared" si="46"/>
        <v>60.177365959947153</v>
      </c>
      <c r="Y33" s="303">
        <f t="shared" si="46"/>
        <v>56.251478906461564</v>
      </c>
      <c r="Z33" s="303">
        <f t="shared" si="46"/>
        <v>59.714420199492707</v>
      </c>
      <c r="AA33" s="303">
        <f t="shared" si="46"/>
        <v>59.61097961932451</v>
      </c>
      <c r="AB33" s="303">
        <f t="shared" si="46"/>
        <v>58.898130540143903</v>
      </c>
      <c r="AC33" s="303">
        <f t="shared" si="46"/>
        <v>60.655960530762947</v>
      </c>
      <c r="AD33" s="303">
        <f t="shared" si="46"/>
        <v>59.659924151121366</v>
      </c>
      <c r="AE33" s="303">
        <f t="shared" si="46"/>
        <v>251.01843383942679</v>
      </c>
      <c r="AF33" s="303">
        <f t="shared" si="46"/>
        <v>248.35131281729113</v>
      </c>
      <c r="AG33" s="303">
        <f t="shared" si="46"/>
        <v>224.8188924573588</v>
      </c>
      <c r="AH33" s="303">
        <f t="shared" si="46"/>
        <v>248.30893505730145</v>
      </c>
      <c r="AI33" s="303">
        <f t="shared" si="46"/>
        <v>64.391308072287032</v>
      </c>
    </row>
    <row r="34" spans="1:35" s="298" customFormat="1" x14ac:dyDescent="0.25">
      <c r="A34" s="299">
        <v>45122</v>
      </c>
      <c r="B34" s="300">
        <f t="shared" si="48"/>
        <v>0.35850786869054535</v>
      </c>
      <c r="C34" s="300">
        <f t="shared" si="31"/>
        <v>0.49165497651816986</v>
      </c>
      <c r="D34" s="300">
        <f t="shared" si="32"/>
        <v>0.5116777117168706</v>
      </c>
      <c r="E34" s="300">
        <f t="shared" si="33"/>
        <v>0.53956722401242441</v>
      </c>
      <c r="F34" s="300">
        <f t="shared" si="34"/>
        <v>0.4977492290697923</v>
      </c>
      <c r="G34" s="300">
        <f t="shared" si="35"/>
        <v>0.53834177725248766</v>
      </c>
      <c r="H34" s="300">
        <f t="shared" si="36"/>
        <v>0.53276953158162288</v>
      </c>
      <c r="I34" s="300">
        <f t="shared" si="37"/>
        <v>0.52613264895164491</v>
      </c>
      <c r="J34" s="300">
        <f t="shared" si="38"/>
        <v>0.54899973034617366</v>
      </c>
      <c r="K34" s="300">
        <f t="shared" si="39"/>
        <v>0.53683779144424959</v>
      </c>
      <c r="L34" s="300">
        <f t="shared" si="40"/>
        <v>2.6070976910987209</v>
      </c>
      <c r="M34" s="300">
        <f t="shared" si="41"/>
        <v>2.5809668006621598</v>
      </c>
      <c r="N34" s="334">
        <f t="shared" si="42"/>
        <v>2.306126418649272</v>
      </c>
      <c r="O34" s="300">
        <f t="shared" si="43"/>
        <v>2.5845201646485161</v>
      </c>
      <c r="P34" s="334">
        <f t="shared" si="44"/>
        <v>0.58208289603640195</v>
      </c>
      <c r="Q34" s="269">
        <f t="shared" si="45"/>
        <v>1.0495354973786035</v>
      </c>
      <c r="R34" s="4"/>
      <c r="S34" s="295">
        <v>45122</v>
      </c>
      <c r="T34" s="333">
        <f t="shared" si="49"/>
        <v>1546.8905758076855</v>
      </c>
      <c r="U34" s="303">
        <f t="shared" si="46"/>
        <v>38.623264234828824</v>
      </c>
      <c r="V34" s="303">
        <f t="shared" si="46"/>
        <v>52.480993437758194</v>
      </c>
      <c r="W34" s="303">
        <f t="shared" si="46"/>
        <v>54.542930585248349</v>
      </c>
      <c r="X34" s="303">
        <f t="shared" si="46"/>
        <v>57.405522528971005</v>
      </c>
      <c r="Y34" s="303">
        <f t="shared" si="46"/>
        <v>53.10918125275127</v>
      </c>
      <c r="Z34" s="303">
        <f t="shared" si="46"/>
        <v>57.279972816322854</v>
      </c>
      <c r="AA34" s="303">
        <f t="shared" si="46"/>
        <v>56.708816973263843</v>
      </c>
      <c r="AB34" s="303">
        <f t="shared" si="46"/>
        <v>56.027963943091905</v>
      </c>
      <c r="AC34" s="303">
        <f t="shared" si="46"/>
        <v>58.371195596499618</v>
      </c>
      <c r="AD34" s="303">
        <f t="shared" si="46"/>
        <v>57.125857235008567</v>
      </c>
      <c r="AE34" s="303">
        <f t="shared" si="46"/>
        <v>242.84164057950889</v>
      </c>
      <c r="AF34" s="303">
        <f t="shared" si="46"/>
        <v>240.786515552119</v>
      </c>
      <c r="AG34" s="303">
        <f t="shared" si="46"/>
        <v>218.77208185689938</v>
      </c>
      <c r="AH34" s="303">
        <f t="shared" si="46"/>
        <v>241.06635862771424</v>
      </c>
      <c r="AI34" s="303">
        <f t="shared" si="46"/>
        <v>61.748280587699881</v>
      </c>
    </row>
    <row r="35" spans="1:35" s="298" customFormat="1" x14ac:dyDescent="0.25">
      <c r="A35" s="299">
        <v>45153</v>
      </c>
      <c r="B35" s="300">
        <f t="shared" si="48"/>
        <v>0.35810730118096895</v>
      </c>
      <c r="C35" s="300">
        <f t="shared" si="31"/>
        <v>0.50015882379269616</v>
      </c>
      <c r="D35" s="300">
        <f t="shared" si="32"/>
        <v>0.52479296212453908</v>
      </c>
      <c r="E35" s="300">
        <f t="shared" si="33"/>
        <v>0.53948148914824301</v>
      </c>
      <c r="F35" s="300">
        <f t="shared" si="34"/>
        <v>0.47895341367781974</v>
      </c>
      <c r="G35" s="300">
        <f t="shared" si="35"/>
        <v>0.52533711344965317</v>
      </c>
      <c r="H35" s="300">
        <f t="shared" si="36"/>
        <v>0.51648755802473234</v>
      </c>
      <c r="I35" s="300">
        <f t="shared" si="37"/>
        <v>0.52567247199735645</v>
      </c>
      <c r="J35" s="300">
        <f t="shared" si="38"/>
        <v>0.55184266517691749</v>
      </c>
      <c r="K35" s="300">
        <f t="shared" si="39"/>
        <v>0.54409834413648772</v>
      </c>
      <c r="L35" s="300">
        <f t="shared" si="40"/>
        <v>2.6107249339423304</v>
      </c>
      <c r="M35" s="300">
        <f t="shared" si="41"/>
        <v>2.5972212268477732</v>
      </c>
      <c r="N35" s="334">
        <f t="shared" si="42"/>
        <v>2.338011220202878</v>
      </c>
      <c r="O35" s="300">
        <f t="shared" si="43"/>
        <v>2.58205682952102</v>
      </c>
      <c r="P35" s="334">
        <f t="shared" si="44"/>
        <v>0.56072960451160003</v>
      </c>
      <c r="Q35" s="269">
        <f t="shared" si="45"/>
        <v>1.0502450638490013</v>
      </c>
      <c r="R35" s="4"/>
      <c r="S35" s="295">
        <v>45153</v>
      </c>
      <c r="T35" s="333">
        <f t="shared" si="49"/>
        <v>1429.2980404755156</v>
      </c>
      <c r="U35" s="303">
        <f t="shared" si="46"/>
        <v>35.648296333308132</v>
      </c>
      <c r="V35" s="303">
        <f t="shared" si="46"/>
        <v>49.301254935251436</v>
      </c>
      <c r="W35" s="303">
        <f t="shared" si="46"/>
        <v>51.641737983866612</v>
      </c>
      <c r="X35" s="303">
        <f t="shared" si="46"/>
        <v>53.033516765223276</v>
      </c>
      <c r="Y35" s="303">
        <f t="shared" si="46"/>
        <v>47.280155967770241</v>
      </c>
      <c r="Z35" s="303">
        <f t="shared" si="46"/>
        <v>51.693348042669193</v>
      </c>
      <c r="AA35" s="303">
        <f t="shared" si="46"/>
        <v>50.853531314925291</v>
      </c>
      <c r="AB35" s="303">
        <f t="shared" si="46"/>
        <v>51.725153214502313</v>
      </c>
      <c r="AC35" s="303">
        <f t="shared" si="46"/>
        <v>54.202595378223506</v>
      </c>
      <c r="AD35" s="303">
        <f t="shared" si="46"/>
        <v>53.470395943367571</v>
      </c>
      <c r="AE35" s="303">
        <f t="shared" si="46"/>
        <v>224.64426129165457</v>
      </c>
      <c r="AF35" s="303">
        <f t="shared" si="46"/>
        <v>223.66413988686566</v>
      </c>
      <c r="AG35" s="303">
        <f t="shared" si="46"/>
        <v>204.53620765748542</v>
      </c>
      <c r="AH35" s="303">
        <f t="shared" si="46"/>
        <v>222.56157995192558</v>
      </c>
      <c r="AI35" s="303">
        <f t="shared" si="46"/>
        <v>55.041865808476651</v>
      </c>
    </row>
    <row r="36" spans="1:35" s="313" customFormat="1" x14ac:dyDescent="0.25">
      <c r="A36" s="304">
        <v>45184</v>
      </c>
      <c r="B36" s="305">
        <f t="shared" si="48"/>
        <v>0.35741238989255436</v>
      </c>
      <c r="C36" s="305">
        <f t="shared" si="31"/>
        <v>0.53013356150894708</v>
      </c>
      <c r="D36" s="305">
        <f t="shared" si="32"/>
        <v>0.54476216498570595</v>
      </c>
      <c r="E36" s="305">
        <f t="shared" si="33"/>
        <v>0.54317046461922558</v>
      </c>
      <c r="F36" s="305">
        <f t="shared" si="34"/>
        <v>0.4370841930306465</v>
      </c>
      <c r="G36" s="305">
        <f t="shared" si="35"/>
        <v>0.4949515174048319</v>
      </c>
      <c r="H36" s="305">
        <f t="shared" si="36"/>
        <v>0.47819683445573635</v>
      </c>
      <c r="I36" s="305">
        <f t="shared" si="37"/>
        <v>0.53784545243142823</v>
      </c>
      <c r="J36" s="305">
        <f t="shared" si="38"/>
        <v>0.55411308763693368</v>
      </c>
      <c r="K36" s="305">
        <f t="shared" si="39"/>
        <v>0.56757018837280904</v>
      </c>
      <c r="L36" s="305">
        <f t="shared" si="40"/>
        <v>2.5995909782115265</v>
      </c>
      <c r="M36" s="305">
        <f t="shared" si="41"/>
        <v>2.6139286755649622</v>
      </c>
      <c r="N36" s="335">
        <f t="shared" si="42"/>
        <v>2.3850261521588254</v>
      </c>
      <c r="O36" s="305">
        <f t="shared" si="43"/>
        <v>2.5833187544712111</v>
      </c>
      <c r="P36" s="335">
        <f t="shared" si="44"/>
        <v>0.53878989180959735</v>
      </c>
      <c r="Q36" s="308">
        <f t="shared" si="45"/>
        <v>1.051059620436996</v>
      </c>
      <c r="R36" s="336"/>
      <c r="S36" s="310">
        <v>45184</v>
      </c>
      <c r="T36" s="337">
        <f t="shared" si="49"/>
        <v>1243.5450737276715</v>
      </c>
      <c r="U36" s="312">
        <f t="shared" si="46"/>
        <v>30.956721494815682</v>
      </c>
      <c r="V36" s="312">
        <f t="shared" si="46"/>
        <v>45.370882245606445</v>
      </c>
      <c r="W36" s="312">
        <f t="shared" si="46"/>
        <v>46.575963149952372</v>
      </c>
      <c r="X36" s="312">
        <f t="shared" si="46"/>
        <v>46.444958966469315</v>
      </c>
      <c r="Y36" s="312">
        <f t="shared" si="46"/>
        <v>37.648453647577981</v>
      </c>
      <c r="Z36" s="312">
        <f t="shared" si="46"/>
        <v>42.462682297609533</v>
      </c>
      <c r="AA36" s="312">
        <f t="shared" si="46"/>
        <v>41.072747149313926</v>
      </c>
      <c r="AB36" s="312">
        <f t="shared" si="46"/>
        <v>46.006477712697908</v>
      </c>
      <c r="AC36" s="312">
        <f t="shared" si="46"/>
        <v>47.345007989821646</v>
      </c>
      <c r="AD36" s="312">
        <f t="shared" si="46"/>
        <v>48.450023073101846</v>
      </c>
      <c r="AE36" s="312">
        <f t="shared" si="46"/>
        <v>194.74627771883453</v>
      </c>
      <c r="AF36" s="312">
        <f t="shared" si="46"/>
        <v>195.65138330917807</v>
      </c>
      <c r="AG36" s="312">
        <f t="shared" si="46"/>
        <v>181.01207130743563</v>
      </c>
      <c r="AH36" s="312">
        <f t="shared" si="46"/>
        <v>193.71715387939634</v>
      </c>
      <c r="AI36" s="312">
        <f t="shared" si="46"/>
        <v>46.084269785860144</v>
      </c>
    </row>
    <row r="37" spans="1:35" s="316" customFormat="1" x14ac:dyDescent="0.25">
      <c r="A37" s="299">
        <v>44849</v>
      </c>
      <c r="B37" s="300">
        <f>+U37/($T37-U37)*(Nserv-1)</f>
        <v>0.32747384011127889</v>
      </c>
      <c r="C37" s="300">
        <f t="shared" si="31"/>
        <v>0.54617756389587224</v>
      </c>
      <c r="D37" s="300">
        <f t="shared" si="32"/>
        <v>0.55639596224238586</v>
      </c>
      <c r="E37" s="300">
        <f t="shared" si="33"/>
        <v>0.53844762355252529</v>
      </c>
      <c r="F37" s="300">
        <f t="shared" si="34"/>
        <v>0.37066223490517769</v>
      </c>
      <c r="G37" s="300">
        <f t="shared" si="35"/>
        <v>0.43793537217938816</v>
      </c>
      <c r="H37" s="300">
        <f t="shared" si="36"/>
        <v>0.40787393325124238</v>
      </c>
      <c r="I37" s="300">
        <f t="shared" si="37"/>
        <v>0.57211859352123828</v>
      </c>
      <c r="J37" s="300">
        <f t="shared" si="38"/>
        <v>0.56494163577791601</v>
      </c>
      <c r="K37" s="300">
        <f t="shared" si="39"/>
        <v>0.60937473795291464</v>
      </c>
      <c r="L37" s="300">
        <f t="shared" si="40"/>
        <v>2.6345214703529392</v>
      </c>
      <c r="M37" s="300">
        <f t="shared" si="41"/>
        <v>2.7106422176897489</v>
      </c>
      <c r="N37" s="334">
        <f t="shared" si="42"/>
        <v>2.4204550701693286</v>
      </c>
      <c r="O37" s="300">
        <f t="shared" si="43"/>
        <v>2.6115898537606168</v>
      </c>
      <c r="P37" s="334">
        <f t="shared" si="44"/>
        <v>0.50678910247534137</v>
      </c>
      <c r="Q37" s="269">
        <f t="shared" si="45"/>
        <v>1.0543599474558609</v>
      </c>
      <c r="R37" s="338"/>
      <c r="S37" s="295">
        <v>44849</v>
      </c>
      <c r="T37" s="333">
        <f t="shared" si="49"/>
        <v>978.93794132449671</v>
      </c>
      <c r="U37" s="303">
        <f>U17*U$23</f>
        <v>22.374953913974338</v>
      </c>
      <c r="V37" s="303">
        <f t="shared" si="46"/>
        <v>36.757006275307234</v>
      </c>
      <c r="W37" s="303">
        <f t="shared" si="46"/>
        <v>37.418404888933587</v>
      </c>
      <c r="X37" s="303">
        <f t="shared" si="46"/>
        <v>36.256058539403817</v>
      </c>
      <c r="Y37" s="303">
        <f t="shared" si="46"/>
        <v>25.249728873556389</v>
      </c>
      <c r="Z37" s="303">
        <f t="shared" si="46"/>
        <v>29.693411185407875</v>
      </c>
      <c r="AA37" s="303">
        <f t="shared" si="46"/>
        <v>27.712851346888154</v>
      </c>
      <c r="AB37" s="303">
        <f t="shared" si="46"/>
        <v>38.434260230640305</v>
      </c>
      <c r="AC37" s="303">
        <f t="shared" si="46"/>
        <v>37.970821698207828</v>
      </c>
      <c r="AD37" s="303">
        <f t="shared" si="46"/>
        <v>40.832688747250856</v>
      </c>
      <c r="AE37" s="303">
        <f t="shared" si="46"/>
        <v>155.0410108976686</v>
      </c>
      <c r="AF37" s="303">
        <f t="shared" si="46"/>
        <v>158.79404739115557</v>
      </c>
      <c r="AG37" s="303">
        <f t="shared" si="46"/>
        <v>144.30022148195971</v>
      </c>
      <c r="AH37" s="303">
        <f t="shared" si="46"/>
        <v>153.90365507041392</v>
      </c>
      <c r="AI37" s="303">
        <f t="shared" si="46"/>
        <v>34.198820783728522</v>
      </c>
    </row>
    <row r="38" spans="1:35" s="316" customFormat="1" x14ac:dyDescent="0.25">
      <c r="A38" s="299">
        <v>44880</v>
      </c>
      <c r="B38" s="300">
        <f t="shared" si="48"/>
        <v>0.26901121539634465</v>
      </c>
      <c r="C38" s="300">
        <f t="shared" si="31"/>
        <v>0.56475720715875599</v>
      </c>
      <c r="D38" s="300">
        <f t="shared" si="32"/>
        <v>0.56679178417704956</v>
      </c>
      <c r="E38" s="300">
        <f t="shared" si="33"/>
        <v>0.54653103226559585</v>
      </c>
      <c r="F38" s="300">
        <f t="shared" si="34"/>
        <v>0.33450838371839897</v>
      </c>
      <c r="G38" s="300">
        <f t="shared" si="35"/>
        <v>0.40654298304963088</v>
      </c>
      <c r="H38" s="300">
        <f t="shared" si="36"/>
        <v>0.38774790919143887</v>
      </c>
      <c r="I38" s="300">
        <f t="shared" si="37"/>
        <v>0.59462797338535667</v>
      </c>
      <c r="J38" s="300">
        <f t="shared" si="38"/>
        <v>0.55939133945573882</v>
      </c>
      <c r="K38" s="300">
        <f t="shared" si="39"/>
        <v>0.62417714066757868</v>
      </c>
      <c r="L38" s="300">
        <f t="shared" si="40"/>
        <v>2.6939596233622258</v>
      </c>
      <c r="M38" s="300">
        <f t="shared" si="41"/>
        <v>2.7959555737412907</v>
      </c>
      <c r="N38" s="334">
        <f t="shared" si="42"/>
        <v>2.4653464270212306</v>
      </c>
      <c r="O38" s="300">
        <f t="shared" si="43"/>
        <v>2.5930907555270553</v>
      </c>
      <c r="P38" s="334">
        <f t="shared" si="44"/>
        <v>0.45826786148114212</v>
      </c>
      <c r="Q38" s="269">
        <f t="shared" si="45"/>
        <v>1.0573804806399223</v>
      </c>
      <c r="R38" s="338"/>
      <c r="S38" s="295">
        <v>44880</v>
      </c>
      <c r="T38" s="333">
        <f t="shared" si="49"/>
        <v>736.99007107678381</v>
      </c>
      <c r="U38" s="303">
        <f t="shared" si="46"/>
        <v>13.894347110855298</v>
      </c>
      <c r="V38" s="303">
        <f t="shared" si="46"/>
        <v>28.577232584452567</v>
      </c>
      <c r="W38" s="303">
        <f t="shared" si="46"/>
        <v>28.676178220665072</v>
      </c>
      <c r="X38" s="303">
        <f t="shared" si="46"/>
        <v>27.689621905158511</v>
      </c>
      <c r="Y38" s="303">
        <f t="shared" si="46"/>
        <v>17.198312693612777</v>
      </c>
      <c r="Z38" s="303">
        <f t="shared" si="46"/>
        <v>20.797365636297219</v>
      </c>
      <c r="AA38" s="303">
        <f t="shared" si="46"/>
        <v>19.861785246620457</v>
      </c>
      <c r="AB38" s="303">
        <f t="shared" si="46"/>
        <v>30.027138284626336</v>
      </c>
      <c r="AC38" s="303">
        <f t="shared" si="46"/>
        <v>28.316146836989521</v>
      </c>
      <c r="AD38" s="303">
        <f t="shared" si="46"/>
        <v>31.4556060720763</v>
      </c>
      <c r="AE38" s="303">
        <f t="shared" si="46"/>
        <v>118.93053170688341</v>
      </c>
      <c r="AF38" s="303">
        <f t="shared" si="46"/>
        <v>122.68379062877742</v>
      </c>
      <c r="AG38" s="303">
        <f t="shared" si="46"/>
        <v>110.3490805087164</v>
      </c>
      <c r="AH38" s="303">
        <f t="shared" si="46"/>
        <v>115.1733675408161</v>
      </c>
      <c r="AI38" s="303">
        <f t="shared" si="46"/>
        <v>23.359566100236425</v>
      </c>
    </row>
    <row r="39" spans="1:35" s="316" customFormat="1" x14ac:dyDescent="0.25">
      <c r="A39" s="317">
        <v>44910</v>
      </c>
      <c r="B39" s="318">
        <f t="shared" si="48"/>
        <v>0.24532293150170212</v>
      </c>
      <c r="C39" s="318">
        <f t="shared" si="31"/>
        <v>0.5741535465979114</v>
      </c>
      <c r="D39" s="318">
        <f t="shared" si="32"/>
        <v>0.56548025149774461</v>
      </c>
      <c r="E39" s="318">
        <f t="shared" si="33"/>
        <v>0.55283619940294149</v>
      </c>
      <c r="F39" s="318">
        <f t="shared" si="34"/>
        <v>0.34094975031424024</v>
      </c>
      <c r="G39" s="318">
        <f t="shared" si="35"/>
        <v>0.39997126183513582</v>
      </c>
      <c r="H39" s="318">
        <f t="shared" si="36"/>
        <v>0.35807549148381501</v>
      </c>
      <c r="I39" s="318">
        <f t="shared" si="37"/>
        <v>0.59147130452154228</v>
      </c>
      <c r="J39" s="318">
        <f t="shared" si="38"/>
        <v>0.55918190743586516</v>
      </c>
      <c r="K39" s="318">
        <f t="shared" si="39"/>
        <v>0.64550742943557726</v>
      </c>
      <c r="L39" s="318">
        <f t="shared" si="40"/>
        <v>2.7357891122759779</v>
      </c>
      <c r="M39" s="318">
        <f t="shared" si="41"/>
        <v>2.8338331764867113</v>
      </c>
      <c r="N39" s="339">
        <f t="shared" si="42"/>
        <v>2.484437379196172</v>
      </c>
      <c r="O39" s="318">
        <f t="shared" si="43"/>
        <v>2.5890033291048375</v>
      </c>
      <c r="P39" s="339">
        <f t="shared" si="44"/>
        <v>0.41028454615934312</v>
      </c>
      <c r="Q39" s="269">
        <f t="shared" si="45"/>
        <v>1.0590865078166345</v>
      </c>
      <c r="R39" s="338"/>
      <c r="S39" s="295">
        <v>44910</v>
      </c>
      <c r="T39" s="340">
        <f t="shared" si="49"/>
        <v>604.03081519531736</v>
      </c>
      <c r="U39" s="322">
        <f t="shared" si="46"/>
        <v>10.402193829765087</v>
      </c>
      <c r="V39" s="322">
        <f t="shared" si="46"/>
        <v>23.795991560674555</v>
      </c>
      <c r="W39" s="322">
        <f t="shared" si="46"/>
        <v>23.450479585382219</v>
      </c>
      <c r="X39" s="322">
        <f t="shared" si="46"/>
        <v>22.94604952734505</v>
      </c>
      <c r="Y39" s="322">
        <f t="shared" si="46"/>
        <v>14.360566016099304</v>
      </c>
      <c r="Z39" s="322">
        <f t="shared" si="46"/>
        <v>16.777461770447164</v>
      </c>
      <c r="AA39" s="322">
        <f t="shared" si="46"/>
        <v>15.063901227620629</v>
      </c>
      <c r="AB39" s="322">
        <f t="shared" si="46"/>
        <v>24.484638099797149</v>
      </c>
      <c r="AC39" s="322">
        <f t="shared" si="46"/>
        <v>23.199318858599543</v>
      </c>
      <c r="AD39" s="322">
        <f t="shared" si="46"/>
        <v>26.622934076899522</v>
      </c>
      <c r="AE39" s="322">
        <f t="shared" si="46"/>
        <v>98.740544386902911</v>
      </c>
      <c r="AF39" s="322">
        <f t="shared" si="46"/>
        <v>101.68346958028054</v>
      </c>
      <c r="AG39" s="322">
        <f t="shared" si="46"/>
        <v>91.035969316822317</v>
      </c>
      <c r="AH39" s="322">
        <f t="shared" si="46"/>
        <v>94.269544733822897</v>
      </c>
      <c r="AI39" s="322">
        <f t="shared" si="46"/>
        <v>17.197752624858438</v>
      </c>
    </row>
  </sheetData>
  <conditionalFormatting sqref="B4:B6">
    <cfRule type="cellIs" dxfId="104" priority="95" stopIfTrue="1" operator="lessThan">
      <formula>0.9</formula>
    </cfRule>
    <cfRule type="cellIs" dxfId="103" priority="96" stopIfTrue="1" operator="between">
      <formula>90%</formula>
      <formula>94%</formula>
    </cfRule>
  </conditionalFormatting>
  <conditionalFormatting sqref="B4:B6">
    <cfRule type="cellIs" dxfId="102" priority="94" stopIfTrue="1" operator="greaterThan">
      <formula>1</formula>
    </cfRule>
  </conditionalFormatting>
  <conditionalFormatting sqref="B8:B19">
    <cfRule type="cellIs" dxfId="101" priority="92" stopIfTrue="1" operator="lessThan">
      <formula>0.9</formula>
    </cfRule>
    <cfRule type="cellIs" dxfId="100" priority="93" stopIfTrue="1" operator="between">
      <formula>90%</formula>
      <formula>94%</formula>
    </cfRule>
  </conditionalFormatting>
  <conditionalFormatting sqref="B8:B19">
    <cfRule type="cellIs" dxfId="99" priority="91" stopIfTrue="1" operator="greaterThan">
      <formula>1</formula>
    </cfRule>
  </conditionalFormatting>
  <conditionalFormatting sqref="C4:C6">
    <cfRule type="cellIs" dxfId="98" priority="89" stopIfTrue="1" operator="lessThan">
      <formula>0.9</formula>
    </cfRule>
    <cfRule type="cellIs" dxfId="97" priority="90" stopIfTrue="1" operator="between">
      <formula>90%</formula>
      <formula>94%</formula>
    </cfRule>
  </conditionalFormatting>
  <conditionalFormatting sqref="C4:C6">
    <cfRule type="cellIs" dxfId="96" priority="88" stopIfTrue="1" operator="greaterThan">
      <formula>1</formula>
    </cfRule>
  </conditionalFormatting>
  <conditionalFormatting sqref="E4:E6">
    <cfRule type="cellIs" dxfId="95" priority="86" stopIfTrue="1" operator="lessThan">
      <formula>0.9</formula>
    </cfRule>
    <cfRule type="cellIs" dxfId="94" priority="87" stopIfTrue="1" operator="between">
      <formula>90%</formula>
      <formula>94%</formula>
    </cfRule>
  </conditionalFormatting>
  <conditionalFormatting sqref="E4:E6">
    <cfRule type="cellIs" dxfId="93" priority="85" stopIfTrue="1" operator="greaterThan">
      <formula>1</formula>
    </cfRule>
  </conditionalFormatting>
  <conditionalFormatting sqref="D4:D6">
    <cfRule type="cellIs" dxfId="92" priority="83" stopIfTrue="1" operator="lessThan">
      <formula>0.9</formula>
    </cfRule>
    <cfRule type="cellIs" dxfId="91" priority="84" stopIfTrue="1" operator="between">
      <formula>90%</formula>
      <formula>94%</formula>
    </cfRule>
  </conditionalFormatting>
  <conditionalFormatting sqref="D4:D6">
    <cfRule type="cellIs" dxfId="90" priority="82" stopIfTrue="1" operator="greaterThan">
      <formula>1</formula>
    </cfRule>
  </conditionalFormatting>
  <conditionalFormatting sqref="F4:F6">
    <cfRule type="cellIs" dxfId="89" priority="80" stopIfTrue="1" operator="lessThan">
      <formula>0.9</formula>
    </cfRule>
    <cfRule type="cellIs" dxfId="88" priority="81" stopIfTrue="1" operator="between">
      <formula>90%</formula>
      <formula>94%</formula>
    </cfRule>
  </conditionalFormatting>
  <conditionalFormatting sqref="F4:F6">
    <cfRule type="cellIs" dxfId="87" priority="79" stopIfTrue="1" operator="greaterThan">
      <formula>1</formula>
    </cfRule>
  </conditionalFormatting>
  <conditionalFormatting sqref="G4:G6">
    <cfRule type="cellIs" dxfId="86" priority="77" stopIfTrue="1" operator="lessThan">
      <formula>0.9</formula>
    </cfRule>
    <cfRule type="cellIs" dxfId="85" priority="78" stopIfTrue="1" operator="between">
      <formula>90%</formula>
      <formula>94%</formula>
    </cfRule>
  </conditionalFormatting>
  <conditionalFormatting sqref="G4:G6">
    <cfRule type="cellIs" dxfId="84" priority="76" stopIfTrue="1" operator="greaterThan">
      <formula>1</formula>
    </cfRule>
  </conditionalFormatting>
  <conditionalFormatting sqref="H4:H6">
    <cfRule type="cellIs" dxfId="83" priority="74" stopIfTrue="1" operator="lessThan">
      <formula>0.9</formula>
    </cfRule>
    <cfRule type="cellIs" dxfId="82" priority="75" stopIfTrue="1" operator="between">
      <formula>90%</formula>
      <formula>94%</formula>
    </cfRule>
  </conditionalFormatting>
  <conditionalFormatting sqref="H4:H6">
    <cfRule type="cellIs" dxfId="81" priority="73" stopIfTrue="1" operator="greaterThan">
      <formula>1</formula>
    </cfRule>
  </conditionalFormatting>
  <conditionalFormatting sqref="I4:I6">
    <cfRule type="cellIs" dxfId="80" priority="71" stopIfTrue="1" operator="lessThan">
      <formula>0.9</formula>
    </cfRule>
    <cfRule type="cellIs" dxfId="79" priority="72" stopIfTrue="1" operator="between">
      <formula>90%</formula>
      <formula>94%</formula>
    </cfRule>
  </conditionalFormatting>
  <conditionalFormatting sqref="I4:I6">
    <cfRule type="cellIs" dxfId="78" priority="70" stopIfTrue="1" operator="greaterThan">
      <formula>1</formula>
    </cfRule>
  </conditionalFormatting>
  <conditionalFormatting sqref="J4:J6">
    <cfRule type="cellIs" dxfId="77" priority="68" stopIfTrue="1" operator="lessThan">
      <formula>0.9</formula>
    </cfRule>
    <cfRule type="cellIs" dxfId="76" priority="69" stopIfTrue="1" operator="between">
      <formula>90%</formula>
      <formula>94%</formula>
    </cfRule>
  </conditionalFormatting>
  <conditionalFormatting sqref="J4:J6">
    <cfRule type="cellIs" dxfId="75" priority="67" stopIfTrue="1" operator="greaterThan">
      <formula>1</formula>
    </cfRule>
  </conditionalFormatting>
  <conditionalFormatting sqref="K4:K6">
    <cfRule type="cellIs" dxfId="74" priority="65" stopIfTrue="1" operator="lessThan">
      <formula>0.9</formula>
    </cfRule>
    <cfRule type="cellIs" dxfId="73" priority="66" stopIfTrue="1" operator="between">
      <formula>90%</formula>
      <formula>94%</formula>
    </cfRule>
  </conditionalFormatting>
  <conditionalFormatting sqref="K4:K6">
    <cfRule type="cellIs" dxfId="72" priority="64" stopIfTrue="1" operator="greaterThan">
      <formula>1</formula>
    </cfRule>
  </conditionalFormatting>
  <conditionalFormatting sqref="L4:L6">
    <cfRule type="cellIs" dxfId="71" priority="62" stopIfTrue="1" operator="lessThan">
      <formula>0.9</formula>
    </cfRule>
    <cfRule type="cellIs" dxfId="70" priority="63" stopIfTrue="1" operator="between">
      <formula>90%</formula>
      <formula>94%</formula>
    </cfRule>
  </conditionalFormatting>
  <conditionalFormatting sqref="L4:L6">
    <cfRule type="cellIs" dxfId="69" priority="61" stopIfTrue="1" operator="greaterThan">
      <formula>1</formula>
    </cfRule>
  </conditionalFormatting>
  <conditionalFormatting sqref="M4:M6">
    <cfRule type="cellIs" dxfId="68" priority="59" stopIfTrue="1" operator="lessThan">
      <formula>0.9</formula>
    </cfRule>
    <cfRule type="cellIs" dxfId="67" priority="60" stopIfTrue="1" operator="between">
      <formula>90%</formula>
      <formula>94%</formula>
    </cfRule>
  </conditionalFormatting>
  <conditionalFormatting sqref="M4:M6">
    <cfRule type="cellIs" dxfId="66" priority="58" stopIfTrue="1" operator="greaterThan">
      <formula>1</formula>
    </cfRule>
  </conditionalFormatting>
  <conditionalFormatting sqref="N4:N6">
    <cfRule type="cellIs" dxfId="65" priority="56" stopIfTrue="1" operator="lessThan">
      <formula>0.9</formula>
    </cfRule>
    <cfRule type="cellIs" dxfId="64" priority="57" stopIfTrue="1" operator="between">
      <formula>90%</formula>
      <formula>94%</formula>
    </cfRule>
  </conditionalFormatting>
  <conditionalFormatting sqref="N4:N6">
    <cfRule type="cellIs" dxfId="63" priority="55" stopIfTrue="1" operator="greaterThan">
      <formula>1</formula>
    </cfRule>
  </conditionalFormatting>
  <conditionalFormatting sqref="C8:C19">
    <cfRule type="cellIs" dxfId="62" priority="53" stopIfTrue="1" operator="lessThan">
      <formula>0.9</formula>
    </cfRule>
    <cfRule type="cellIs" dxfId="61" priority="54" stopIfTrue="1" operator="between">
      <formula>90%</formula>
      <formula>94%</formula>
    </cfRule>
  </conditionalFormatting>
  <conditionalFormatting sqref="C8:C19">
    <cfRule type="cellIs" dxfId="60" priority="52" stopIfTrue="1" operator="greaterThan">
      <formula>1</formula>
    </cfRule>
  </conditionalFormatting>
  <conditionalFormatting sqref="E8:E19">
    <cfRule type="cellIs" dxfId="59" priority="50" stopIfTrue="1" operator="lessThan">
      <formula>0.9</formula>
    </cfRule>
    <cfRule type="cellIs" dxfId="58" priority="51" stopIfTrue="1" operator="between">
      <formula>90%</formula>
      <formula>94%</formula>
    </cfRule>
  </conditionalFormatting>
  <conditionalFormatting sqref="E8:E19">
    <cfRule type="cellIs" dxfId="57" priority="49" stopIfTrue="1" operator="greaterThan">
      <formula>1</formula>
    </cfRule>
  </conditionalFormatting>
  <conditionalFormatting sqref="D8:D19">
    <cfRule type="cellIs" dxfId="56" priority="47" stopIfTrue="1" operator="lessThan">
      <formula>0.9</formula>
    </cfRule>
    <cfRule type="cellIs" dxfId="55" priority="48" stopIfTrue="1" operator="between">
      <formula>90%</formula>
      <formula>94%</formula>
    </cfRule>
  </conditionalFormatting>
  <conditionalFormatting sqref="D8:D19">
    <cfRule type="cellIs" dxfId="54" priority="46" stopIfTrue="1" operator="greaterThan">
      <formula>1</formula>
    </cfRule>
  </conditionalFormatting>
  <conditionalFormatting sqref="F8:F19">
    <cfRule type="cellIs" dxfId="53" priority="44" stopIfTrue="1" operator="lessThan">
      <formula>0.9</formula>
    </cfRule>
    <cfRule type="cellIs" dxfId="52" priority="45" stopIfTrue="1" operator="between">
      <formula>90%</formula>
      <formula>94%</formula>
    </cfRule>
  </conditionalFormatting>
  <conditionalFormatting sqref="F8:F19">
    <cfRule type="cellIs" dxfId="51" priority="43" stopIfTrue="1" operator="greaterThan">
      <formula>1</formula>
    </cfRule>
  </conditionalFormatting>
  <conditionalFormatting sqref="G8:G19">
    <cfRule type="cellIs" dxfId="50" priority="41" stopIfTrue="1" operator="lessThan">
      <formula>0.9</formula>
    </cfRule>
    <cfRule type="cellIs" dxfId="49" priority="42" stopIfTrue="1" operator="between">
      <formula>90%</formula>
      <formula>94%</formula>
    </cfRule>
  </conditionalFormatting>
  <conditionalFormatting sqref="G8:G19">
    <cfRule type="cellIs" dxfId="48" priority="40" stopIfTrue="1" operator="greaterThan">
      <formula>1</formula>
    </cfRule>
  </conditionalFormatting>
  <conditionalFormatting sqref="H8:H19">
    <cfRule type="cellIs" dxfId="47" priority="38" stopIfTrue="1" operator="lessThan">
      <formula>0.9</formula>
    </cfRule>
    <cfRule type="cellIs" dxfId="46" priority="39" stopIfTrue="1" operator="between">
      <formula>90%</formula>
      <formula>94%</formula>
    </cfRule>
  </conditionalFormatting>
  <conditionalFormatting sqref="H8:H19">
    <cfRule type="cellIs" dxfId="45" priority="37" stopIfTrue="1" operator="greaterThan">
      <formula>1</formula>
    </cfRule>
  </conditionalFormatting>
  <conditionalFormatting sqref="I8:I19">
    <cfRule type="cellIs" dxfId="44" priority="35" stopIfTrue="1" operator="lessThan">
      <formula>0.9</formula>
    </cfRule>
    <cfRule type="cellIs" dxfId="43" priority="36" stopIfTrue="1" operator="between">
      <formula>90%</formula>
      <formula>94%</formula>
    </cfRule>
  </conditionalFormatting>
  <conditionalFormatting sqref="I8:I19">
    <cfRule type="cellIs" dxfId="42" priority="34" stopIfTrue="1" operator="greaterThan">
      <formula>1</formula>
    </cfRule>
  </conditionalFormatting>
  <conditionalFormatting sqref="J8:J19">
    <cfRule type="cellIs" dxfId="41" priority="32" stopIfTrue="1" operator="lessThan">
      <formula>0.9</formula>
    </cfRule>
    <cfRule type="cellIs" dxfId="40" priority="33" stopIfTrue="1" operator="between">
      <formula>90%</formula>
      <formula>94%</formula>
    </cfRule>
  </conditionalFormatting>
  <conditionalFormatting sqref="J8:J19">
    <cfRule type="cellIs" dxfId="39" priority="31" stopIfTrue="1" operator="greaterThan">
      <formula>1</formula>
    </cfRule>
  </conditionalFormatting>
  <conditionalFormatting sqref="K8:K19">
    <cfRule type="cellIs" dxfId="38" priority="29" stopIfTrue="1" operator="lessThan">
      <formula>0.9</formula>
    </cfRule>
    <cfRule type="cellIs" dxfId="37" priority="30" stopIfTrue="1" operator="between">
      <formula>90%</formula>
      <formula>94%</formula>
    </cfRule>
  </conditionalFormatting>
  <conditionalFormatting sqref="K8:K19">
    <cfRule type="cellIs" dxfId="36" priority="28" stopIfTrue="1" operator="greaterThan">
      <formula>1</formula>
    </cfRule>
  </conditionalFormatting>
  <conditionalFormatting sqref="L8:L19">
    <cfRule type="cellIs" dxfId="35" priority="26" stopIfTrue="1" operator="lessThan">
      <formula>0.9</formula>
    </cfRule>
    <cfRule type="cellIs" dxfId="34" priority="27" stopIfTrue="1" operator="between">
      <formula>90%</formula>
      <formula>94%</formula>
    </cfRule>
  </conditionalFormatting>
  <conditionalFormatting sqref="L8:L19">
    <cfRule type="cellIs" dxfId="33" priority="25" stopIfTrue="1" operator="greaterThan">
      <formula>1</formula>
    </cfRule>
  </conditionalFormatting>
  <conditionalFormatting sqref="M8:M19">
    <cfRule type="cellIs" dxfId="32" priority="23" stopIfTrue="1" operator="lessThan">
      <formula>0.9</formula>
    </cfRule>
    <cfRule type="cellIs" dxfId="31" priority="24" stopIfTrue="1" operator="between">
      <formula>90%</formula>
      <formula>94%</formula>
    </cfRule>
  </conditionalFormatting>
  <conditionalFormatting sqref="M8:M19">
    <cfRule type="cellIs" dxfId="30" priority="22" stopIfTrue="1" operator="greaterThan">
      <formula>1</formula>
    </cfRule>
  </conditionalFormatting>
  <conditionalFormatting sqref="N8:N19">
    <cfRule type="cellIs" dxfId="29" priority="20" stopIfTrue="1" operator="lessThan">
      <formula>0.9</formula>
    </cfRule>
    <cfRule type="cellIs" dxfId="28" priority="21" stopIfTrue="1" operator="between">
      <formula>90%</formula>
      <formula>94%</formula>
    </cfRule>
  </conditionalFormatting>
  <conditionalFormatting sqref="N8:N19">
    <cfRule type="cellIs" dxfId="27" priority="19" stopIfTrue="1" operator="greaterThan">
      <formula>1</formula>
    </cfRule>
  </conditionalFormatting>
  <conditionalFormatting sqref="O4:P6">
    <cfRule type="cellIs" dxfId="26" priority="11" stopIfTrue="1" operator="lessThan">
      <formula>0.9</formula>
    </cfRule>
    <cfRule type="cellIs" dxfId="25" priority="12" stopIfTrue="1" operator="between">
      <formula>90%</formula>
      <formula>94%</formula>
    </cfRule>
  </conditionalFormatting>
  <conditionalFormatting sqref="O4:P6">
    <cfRule type="cellIs" dxfId="24" priority="10" stopIfTrue="1" operator="greaterThan">
      <formula>1</formula>
    </cfRule>
  </conditionalFormatting>
  <conditionalFormatting sqref="N8:N19">
    <cfRule type="cellIs" dxfId="23" priority="8" stopIfTrue="1" operator="lessThan">
      <formula>0.9</formula>
    </cfRule>
    <cfRule type="cellIs" dxfId="22" priority="9" stopIfTrue="1" operator="between">
      <formula>90%</formula>
      <formula>94%</formula>
    </cfRule>
  </conditionalFormatting>
  <conditionalFormatting sqref="N8:N19">
    <cfRule type="cellIs" dxfId="21" priority="7" stopIfTrue="1" operator="greaterThan">
      <formula>1</formula>
    </cfRule>
  </conditionalFormatting>
  <conditionalFormatting sqref="O8:O19">
    <cfRule type="cellIs" dxfId="20" priority="17" stopIfTrue="1" operator="lessThan">
      <formula>0.9</formula>
    </cfRule>
    <cfRule type="cellIs" dxfId="19" priority="18" stopIfTrue="1" operator="between">
      <formula>90%</formula>
      <formula>94%</formula>
    </cfRule>
  </conditionalFormatting>
  <conditionalFormatting sqref="O8:O19">
    <cfRule type="cellIs" dxfId="18" priority="16" stopIfTrue="1" operator="greaterThan">
      <formula>1</formula>
    </cfRule>
  </conditionalFormatting>
  <conditionalFormatting sqref="P8:P19">
    <cfRule type="cellIs" dxfId="17" priority="14" stopIfTrue="1" operator="lessThan">
      <formula>0.9</formula>
    </cfRule>
    <cfRule type="cellIs" dxfId="16" priority="15" stopIfTrue="1" operator="between">
      <formula>90%</formula>
      <formula>94%</formula>
    </cfRule>
  </conditionalFormatting>
  <conditionalFormatting sqref="P8:P19">
    <cfRule type="cellIs" dxfId="15" priority="13" stopIfTrue="1" operator="greaterThan">
      <formula>1</formula>
    </cfRule>
  </conditionalFormatting>
  <conditionalFormatting sqref="O8:O19">
    <cfRule type="cellIs" dxfId="14" priority="5" stopIfTrue="1" operator="lessThan">
      <formula>0.9</formula>
    </cfRule>
    <cfRule type="cellIs" dxfId="13" priority="6" stopIfTrue="1" operator="between">
      <formula>90%</formula>
      <formula>94%</formula>
    </cfRule>
  </conditionalFormatting>
  <conditionalFormatting sqref="O8:O19">
    <cfRule type="cellIs" dxfId="12" priority="4" stopIfTrue="1" operator="greaterThan">
      <formula>1</formula>
    </cfRule>
  </conditionalFormatting>
  <conditionalFormatting sqref="P8:P19">
    <cfRule type="cellIs" dxfId="11" priority="2" stopIfTrue="1" operator="lessThan">
      <formula>0.9</formula>
    </cfRule>
    <cfRule type="cellIs" dxfId="10" priority="3" stopIfTrue="1" operator="between">
      <formula>90%</formula>
      <formula>94%</formula>
    </cfRule>
  </conditionalFormatting>
  <conditionalFormatting sqref="P8:P19">
    <cfRule type="cellIs" dxfId="9" priority="1" stopIfTrue="1" operator="greaterThan">
      <formula>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opLeftCell="E1" workbookViewId="0">
      <selection activeCell="M5" sqref="M5"/>
    </sheetView>
  </sheetViews>
  <sheetFormatPr baseColWidth="10" defaultRowHeight="15" x14ac:dyDescent="0.25"/>
  <cols>
    <col min="1" max="1" width="6.28515625" style="193" customWidth="1"/>
    <col min="2" max="16" width="8.85546875" style="2" customWidth="1"/>
    <col min="17" max="17" width="8.85546875" style="183" customWidth="1"/>
    <col min="18" max="18" width="10.28515625" style="253" customWidth="1"/>
    <col min="19" max="33" width="8.85546875" style="184" customWidth="1"/>
    <col min="34" max="34" width="8.85546875" style="212" customWidth="1"/>
    <col min="35" max="16384" width="11.42578125" style="189"/>
  </cols>
  <sheetData>
    <row r="1" spans="1:34" ht="18.75" x14ac:dyDescent="0.25">
      <c r="A1" s="182" t="s">
        <v>61</v>
      </c>
      <c r="R1" s="182" t="s">
        <v>62</v>
      </c>
      <c r="AC1" s="185"/>
      <c r="AD1" s="186"/>
      <c r="AE1" s="187"/>
      <c r="AF1" s="186"/>
      <c r="AG1" s="187"/>
      <c r="AH1" s="188"/>
    </row>
    <row r="2" spans="1:34" ht="33.75" x14ac:dyDescent="0.25">
      <c r="A2" s="190"/>
      <c r="R2" s="191" t="s">
        <v>24</v>
      </c>
      <c r="S2" s="12" t="s">
        <v>5</v>
      </c>
      <c r="T2" s="12" t="s">
        <v>6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 t="s">
        <v>12</v>
      </c>
      <c r="AA2" s="12" t="s">
        <v>13</v>
      </c>
      <c r="AB2" s="12" t="s">
        <v>14</v>
      </c>
      <c r="AC2" s="12" t="s">
        <v>15</v>
      </c>
      <c r="AD2" s="12" t="s">
        <v>16</v>
      </c>
      <c r="AE2" s="12" t="s">
        <v>17</v>
      </c>
      <c r="AF2" s="12" t="s">
        <v>18</v>
      </c>
      <c r="AG2" s="12" t="s">
        <v>19</v>
      </c>
      <c r="AH2" s="192"/>
    </row>
    <row r="3" spans="1:34" ht="15.75" thickBot="1" x14ac:dyDescent="0.3">
      <c r="M3" s="194" t="s">
        <v>63</v>
      </c>
      <c r="N3" s="195" t="s">
        <v>64</v>
      </c>
      <c r="Q3" s="196"/>
      <c r="R3" s="197" t="s">
        <v>65</v>
      </c>
      <c r="S3" s="433">
        <v>0.23730000000000001</v>
      </c>
      <c r="T3" s="434">
        <v>0.23730000000000001</v>
      </c>
      <c r="U3" s="434">
        <v>0.23730000000000001</v>
      </c>
      <c r="V3" s="434">
        <v>0.23730000000000001</v>
      </c>
      <c r="W3" s="434">
        <v>0.23730000000000001</v>
      </c>
      <c r="X3" s="434">
        <v>0.23730000000000001</v>
      </c>
      <c r="Y3" s="434">
        <v>0.23730000000000001</v>
      </c>
      <c r="Z3" s="434">
        <v>0.1963</v>
      </c>
      <c r="AA3" s="434">
        <v>0.1963</v>
      </c>
      <c r="AB3" s="434">
        <v>0.1963</v>
      </c>
      <c r="AC3" s="434">
        <v>0.1207</v>
      </c>
      <c r="AD3" s="434">
        <v>0.1207</v>
      </c>
      <c r="AE3" s="434">
        <v>0.1207</v>
      </c>
      <c r="AF3" s="434">
        <v>0.1135</v>
      </c>
      <c r="AG3" s="435">
        <v>0.15210000000000001</v>
      </c>
      <c r="AH3" s="198"/>
    </row>
    <row r="4" spans="1:34" s="199" customFormat="1" ht="19.5" thickBot="1" x14ac:dyDescent="0.35">
      <c r="L4" s="200" t="s">
        <v>66</v>
      </c>
      <c r="M4" s="201">
        <v>1</v>
      </c>
      <c r="N4" s="202">
        <v>7</v>
      </c>
      <c r="O4" s="203" t="s">
        <v>67</v>
      </c>
      <c r="P4" s="2"/>
      <c r="Q4" s="204"/>
      <c r="R4" s="205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7"/>
    </row>
    <row r="5" spans="1:34" s="213" customFormat="1" ht="15.75" x14ac:dyDescent="0.25">
      <c r="A5" s="208" t="s">
        <v>68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09"/>
      <c r="R5" s="210" t="s">
        <v>68</v>
      </c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2"/>
    </row>
    <row r="6" spans="1:34" s="213" customFormat="1" ht="33.75" x14ac:dyDescent="0.2">
      <c r="A6" s="88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  <c r="O6" s="12" t="s">
        <v>18</v>
      </c>
      <c r="P6" s="12" t="s">
        <v>19</v>
      </c>
      <c r="Q6" s="214" t="s">
        <v>56</v>
      </c>
      <c r="R6" s="215" t="s">
        <v>4</v>
      </c>
      <c r="S6" s="12" t="s">
        <v>5</v>
      </c>
      <c r="T6" s="12" t="s">
        <v>6</v>
      </c>
      <c r="U6" s="12" t="s">
        <v>7</v>
      </c>
      <c r="V6" s="12" t="s">
        <v>8</v>
      </c>
      <c r="W6" s="12" t="s">
        <v>9</v>
      </c>
      <c r="X6" s="12" t="s">
        <v>10</v>
      </c>
      <c r="Y6" s="12" t="s">
        <v>11</v>
      </c>
      <c r="Z6" s="12" t="s">
        <v>12</v>
      </c>
      <c r="AA6" s="12" t="s">
        <v>13</v>
      </c>
      <c r="AB6" s="12" t="s">
        <v>14</v>
      </c>
      <c r="AC6" s="12" t="s">
        <v>15</v>
      </c>
      <c r="AD6" s="12" t="s">
        <v>16</v>
      </c>
      <c r="AE6" s="12" t="s">
        <v>17</v>
      </c>
      <c r="AF6" s="12" t="s">
        <v>18</v>
      </c>
      <c r="AG6" s="12" t="s">
        <v>19</v>
      </c>
      <c r="AH6" s="216" t="s">
        <v>69</v>
      </c>
    </row>
    <row r="7" spans="1:34" x14ac:dyDescent="0.25">
      <c r="A7" s="217">
        <v>2021</v>
      </c>
      <c r="B7" s="130">
        <f>[1]Recap!$H14</f>
        <v>462.97974451982009</v>
      </c>
      <c r="C7" s="130">
        <f>[2]Recap!$H14</f>
        <v>601.44417563785896</v>
      </c>
      <c r="D7" s="130">
        <f>[3]Recap!$H14</f>
        <v>317.16402703247957</v>
      </c>
      <c r="E7" s="130">
        <f>[4]Recap!$H14</f>
        <v>407.63927244838794</v>
      </c>
      <c r="F7" s="130">
        <f>[5]Recap!$H14</f>
        <v>644.28772157133847</v>
      </c>
      <c r="G7" s="130">
        <f>[6]Recap!$H14</f>
        <v>715.47833690747836</v>
      </c>
      <c r="H7" s="130">
        <f>[7]Recap!$H14</f>
        <v>635.44106915727116</v>
      </c>
      <c r="I7" s="130"/>
      <c r="J7" s="130"/>
      <c r="K7" s="130"/>
      <c r="L7" s="130"/>
      <c r="M7" s="130"/>
      <c r="N7" s="130"/>
      <c r="O7" s="130"/>
      <c r="P7" s="131"/>
      <c r="Q7" s="218">
        <f>SUM(B7:P7)</f>
        <v>3784.4343472746345</v>
      </c>
      <c r="R7" s="219">
        <v>2021</v>
      </c>
      <c r="S7" s="220">
        <f>+'Gain action'!B7*S$3</f>
        <v>109.86509337455331</v>
      </c>
      <c r="T7" s="220">
        <f>+'Gain action'!C7*T$3</f>
        <v>142.72270287886394</v>
      </c>
      <c r="U7" s="220">
        <f>+'Gain action'!D7*U$3</f>
        <v>75.263023614807409</v>
      </c>
      <c r="V7" s="220">
        <f>+'Gain action'!E7*V$3</f>
        <v>96.732799352002459</v>
      </c>
      <c r="W7" s="220">
        <f>+'Gain action'!F7*W$3</f>
        <v>152.88947632887863</v>
      </c>
      <c r="X7" s="220">
        <f>+'Gain action'!G7*X$3</f>
        <v>169.78300934814462</v>
      </c>
      <c r="Y7" s="220">
        <f>+'Gain action'!H7*Y$3</f>
        <v>150.79016571102045</v>
      </c>
      <c r="Z7" s="220"/>
      <c r="AA7" s="220"/>
      <c r="AB7" s="220"/>
      <c r="AC7" s="220"/>
      <c r="AD7" s="220"/>
      <c r="AE7" s="220"/>
      <c r="AF7" s="220"/>
      <c r="AG7" s="221"/>
      <c r="AH7" s="222">
        <f>SUM(S7:AG7)</f>
        <v>898.0462706082709</v>
      </c>
    </row>
    <row r="8" spans="1:34" s="223" customFormat="1" ht="12.75" x14ac:dyDescent="0.2">
      <c r="A8" s="217">
        <v>2022</v>
      </c>
      <c r="B8" s="130">
        <f>[1]Recap!$H15</f>
        <v>403.54404421488664</v>
      </c>
      <c r="C8" s="130">
        <f>[2]Recap!$H15</f>
        <v>541.48431288720531</v>
      </c>
      <c r="D8" s="130">
        <f>[3]Recap!$H15</f>
        <v>310.77354477397688</v>
      </c>
      <c r="E8" s="130">
        <f>[4]Recap!$H15</f>
        <v>386.73051037232443</v>
      </c>
      <c r="F8" s="130">
        <f>[5]Recap!$H15</f>
        <v>495.28300504935737</v>
      </c>
      <c r="G8" s="130">
        <f>[6]Recap!$H15</f>
        <v>691.52360911592677</v>
      </c>
      <c r="H8" s="130">
        <f>[7]Recap!$H15</f>
        <v>374.03532286829932</v>
      </c>
      <c r="I8" s="130">
        <f>[8]Recap!$H14</f>
        <v>633.22426340792936</v>
      </c>
      <c r="J8" s="130">
        <f>[9]Recap!$H14</f>
        <v>610.82984145338833</v>
      </c>
      <c r="K8" s="130">
        <f>[10]Recap!$H14</f>
        <v>894.20117184713649</v>
      </c>
      <c r="L8" s="130">
        <f>[11]Recap!$H13</f>
        <v>1229.0315199032634</v>
      </c>
      <c r="M8" s="130">
        <f>[12]Recap!$H13</f>
        <v>1504.932300983422</v>
      </c>
      <c r="N8" s="130"/>
      <c r="O8" s="130"/>
      <c r="P8" s="134"/>
      <c r="Q8" s="218">
        <f t="shared" ref="Q8:Q13" si="0">SUM(B8:P8)</f>
        <v>8075.5934468771175</v>
      </c>
      <c r="R8" s="219">
        <v>2022</v>
      </c>
      <c r="S8" s="220">
        <f>+'Gain action'!B8*S$3</f>
        <v>95.761001692192607</v>
      </c>
      <c r="T8" s="220">
        <f>+'Gain action'!C8*T$3</f>
        <v>128.49422744813381</v>
      </c>
      <c r="U8" s="220">
        <f>+'Gain action'!D8*U$3</f>
        <v>73.746562174864721</v>
      </c>
      <c r="V8" s="220">
        <f>+'Gain action'!E8*V$3</f>
        <v>91.771150111352597</v>
      </c>
      <c r="W8" s="220">
        <f>+'Gain action'!F8*W$3</f>
        <v>117.53065709821252</v>
      </c>
      <c r="X8" s="220">
        <f>+'Gain action'!G8*X$3</f>
        <v>164.09855244320943</v>
      </c>
      <c r="Y8" s="220">
        <f>+'Gain action'!H8*Y$3</f>
        <v>88.758582116647432</v>
      </c>
      <c r="Z8" s="220">
        <f>+'Gain action'!I8*Z$3</f>
        <v>124.30192290697653</v>
      </c>
      <c r="AA8" s="220">
        <f>+'Gain action'!J8*AA$3</f>
        <v>119.90589787730013</v>
      </c>
      <c r="AB8" s="220">
        <f>+'Gain action'!K8*AB$3</f>
        <v>175.53169003359289</v>
      </c>
      <c r="AC8" s="220">
        <f>+'Gain action'!L8*AC$3</f>
        <v>148.3441044523239</v>
      </c>
      <c r="AD8" s="220">
        <f>+'Gain action'!M8*AD$3</f>
        <v>181.64532872869904</v>
      </c>
      <c r="AE8" s="220"/>
      <c r="AF8" s="220"/>
      <c r="AG8" s="221"/>
      <c r="AH8" s="222">
        <f t="shared" ref="AH8:AH13" si="1">SUM(S8:AG8)</f>
        <v>1509.8896770835054</v>
      </c>
    </row>
    <row r="9" spans="1:34" s="234" customFormat="1" ht="12.75" x14ac:dyDescent="0.2">
      <c r="A9" s="224">
        <v>2023</v>
      </c>
      <c r="B9" s="225">
        <f>[1]Recap!$H16</f>
        <v>505.35450689387005</v>
      </c>
      <c r="C9" s="226">
        <f>[2]Recap!$H16</f>
        <v>898.04591297518277</v>
      </c>
      <c r="D9" s="226">
        <f>[3]Recap!$H16</f>
        <v>497.57612156511198</v>
      </c>
      <c r="E9" s="226">
        <f>[4]Recap!$H16</f>
        <v>507.48455097532593</v>
      </c>
      <c r="F9" s="226">
        <f>[5]Recap!$H16</f>
        <v>835.73535619422728</v>
      </c>
      <c r="G9" s="226">
        <f>[6]Recap!$H16</f>
        <v>864.55362769350791</v>
      </c>
      <c r="H9" s="226">
        <f>[7]Recap!$H16</f>
        <v>544.9251407068075</v>
      </c>
      <c r="I9" s="226">
        <f>[8]Recap!$H15</f>
        <v>317.61105789473424</v>
      </c>
      <c r="J9" s="226">
        <f>[9]Recap!$H15</f>
        <v>174.46543551809623</v>
      </c>
      <c r="K9" s="226">
        <f>[10]Recap!$H15</f>
        <v>456.11935643642539</v>
      </c>
      <c r="L9" s="226">
        <f>[11]Recap!$H14</f>
        <v>1723.1229262730683</v>
      </c>
      <c r="M9" s="226">
        <f>[12]Recap!$H14</f>
        <v>900.72571453387241</v>
      </c>
      <c r="N9" s="226">
        <f>[13]Recap!$H14</f>
        <v>1507.9800993064785</v>
      </c>
      <c r="O9" s="226"/>
      <c r="P9" s="227"/>
      <c r="Q9" s="228">
        <f t="shared" si="0"/>
        <v>9733.6998069667097</v>
      </c>
      <c r="R9" s="229">
        <v>2023</v>
      </c>
      <c r="S9" s="230">
        <f>+'Gain action'!B9*S$3</f>
        <v>119.92062448591537</v>
      </c>
      <c r="T9" s="231">
        <f>+'Gain action'!C9*T$3</f>
        <v>213.10629514901089</v>
      </c>
      <c r="U9" s="231">
        <f>+'Gain action'!D9*U$3</f>
        <v>118.07481364740107</v>
      </c>
      <c r="V9" s="231">
        <f>+'Gain action'!E9*V$3</f>
        <v>120.42608394644485</v>
      </c>
      <c r="W9" s="231">
        <f>+'Gain action'!F9*W$3</f>
        <v>198.32000002489013</v>
      </c>
      <c r="X9" s="231">
        <f>+'Gain action'!G9*X$3</f>
        <v>205.15857585166944</v>
      </c>
      <c r="Y9" s="231">
        <f>+'Gain action'!H9*Y$3</f>
        <v>129.31073588972544</v>
      </c>
      <c r="Z9" s="231">
        <f>+'Gain action'!I9*Z$3</f>
        <v>62.347050664736329</v>
      </c>
      <c r="AA9" s="231">
        <f>+'Gain action'!J9*AA$3</f>
        <v>34.247564992202292</v>
      </c>
      <c r="AB9" s="231">
        <f>+'Gain action'!K9*AB$3</f>
        <v>89.536229668470313</v>
      </c>
      <c r="AC9" s="231">
        <f>+'Gain action'!L9*AC$3</f>
        <v>207.98093720115935</v>
      </c>
      <c r="AD9" s="231">
        <f>+'Gain action'!M9*AD$3</f>
        <v>108.7175937442384</v>
      </c>
      <c r="AE9" s="231">
        <f>+'Gain action'!N9*AE$3</f>
        <v>182.01319798629194</v>
      </c>
      <c r="AF9" s="231"/>
      <c r="AG9" s="232"/>
      <c r="AH9" s="233">
        <f t="shared" si="1"/>
        <v>1789.1597032521559</v>
      </c>
    </row>
    <row r="10" spans="1:34" s="234" customFormat="1" ht="12.75" x14ac:dyDescent="0.2">
      <c r="A10" s="235">
        <v>2024</v>
      </c>
      <c r="B10" s="236">
        <f>[1]Recap!$H17</f>
        <v>367.09755448772427</v>
      </c>
      <c r="C10" s="236">
        <f>[2]Recap!$H17</f>
        <v>550.92987324325168</v>
      </c>
      <c r="D10" s="236">
        <f>[3]Recap!$H17</f>
        <v>415.62294060144882</v>
      </c>
      <c r="E10" s="236">
        <f>[4]Recap!$H17</f>
        <v>418.28751950970809</v>
      </c>
      <c r="F10" s="236">
        <f>[5]Recap!$H17</f>
        <v>630.56535204016348</v>
      </c>
      <c r="G10" s="236">
        <f>[6]Recap!$H17</f>
        <v>613.45887176841666</v>
      </c>
      <c r="H10" s="236">
        <f>[7]Recap!$H17</f>
        <v>599.78020227336037</v>
      </c>
      <c r="I10" s="236">
        <f>[8]Recap!$H16</f>
        <v>284.06857308742724</v>
      </c>
      <c r="J10" s="236">
        <f>[9]Recap!$H16</f>
        <v>139.63725270044714</v>
      </c>
      <c r="K10" s="236">
        <f>[10]Recap!$H16</f>
        <v>355.21273202749398</v>
      </c>
      <c r="L10" s="236">
        <f>[11]Recap!$H15</f>
        <v>1279.0385464586689</v>
      </c>
      <c r="M10" s="236">
        <f>[12]Recap!$H15</f>
        <v>782.37473360355966</v>
      </c>
      <c r="N10" s="236">
        <f>[13]Recap!$H15</f>
        <v>1331.7369156341151</v>
      </c>
      <c r="O10" s="236">
        <f>[14]Recap!$H13</f>
        <v>1070.5035962329343</v>
      </c>
      <c r="P10" s="237">
        <f>[15]Recap!$H13</f>
        <v>253.43448744241709</v>
      </c>
      <c r="Q10" s="238">
        <f t="shared" si="0"/>
        <v>9091.7491511111384</v>
      </c>
      <c r="R10" s="239">
        <v>2024</v>
      </c>
      <c r="S10" s="240">
        <f>+'Gain action'!B10*S$3</f>
        <v>87.112249679936966</v>
      </c>
      <c r="T10" s="240">
        <f>+'Gain action'!C10*T$3</f>
        <v>130.73565892062362</v>
      </c>
      <c r="U10" s="240">
        <f>+'Gain action'!D10*U$3</f>
        <v>98.627323804723815</v>
      </c>
      <c r="V10" s="240">
        <f>+'Gain action'!E10*V$3</f>
        <v>99.259628379653734</v>
      </c>
      <c r="W10" s="240">
        <f>+'Gain action'!F10*W$3</f>
        <v>149.63315803913079</v>
      </c>
      <c r="X10" s="240">
        <f>+'Gain action'!G10*X$3</f>
        <v>145.57379027064528</v>
      </c>
      <c r="Y10" s="240">
        <f>+'Gain action'!H10*Y$3</f>
        <v>142.32784199946843</v>
      </c>
      <c r="Z10" s="240">
        <f>+'Gain action'!I10*Z$3</f>
        <v>55.76266089706197</v>
      </c>
      <c r="AA10" s="240">
        <f>+'Gain action'!J10*AA$3</f>
        <v>27.410792705097773</v>
      </c>
      <c r="AB10" s="240">
        <f>+'Gain action'!K10*AB$3</f>
        <v>69.728259296997066</v>
      </c>
      <c r="AC10" s="240">
        <f>+'Gain action'!L10*AC$3</f>
        <v>154.37995255756132</v>
      </c>
      <c r="AD10" s="240">
        <f>+'Gain action'!M10*AD$3</f>
        <v>94.432630345949647</v>
      </c>
      <c r="AE10" s="240">
        <f>+'Gain action'!N10*AE$3</f>
        <v>160.74064571703769</v>
      </c>
      <c r="AF10" s="240">
        <f>+'Gain action'!O10*AF$3</f>
        <v>121.50215817243806</v>
      </c>
      <c r="AG10" s="241">
        <f>+'Gain action'!P10*AG$3</f>
        <v>38.547385539991645</v>
      </c>
      <c r="AH10" s="242">
        <f t="shared" si="1"/>
        <v>1575.7741363263181</v>
      </c>
    </row>
    <row r="11" spans="1:34" s="234" customFormat="1" ht="12.75" x14ac:dyDescent="0.2">
      <c r="A11" s="235">
        <v>2025</v>
      </c>
      <c r="B11" s="236">
        <f>[1]Recap!$H18</f>
        <v>319.78078988831334</v>
      </c>
      <c r="C11" s="236">
        <f>[2]Recap!$H18</f>
        <v>414.67026961866952</v>
      </c>
      <c r="D11" s="236">
        <f>[3]Recap!$H18</f>
        <v>427.73418065631802</v>
      </c>
      <c r="E11" s="236">
        <f>[4]Recap!$H18</f>
        <v>491.15863445570727</v>
      </c>
      <c r="F11" s="236">
        <f>[5]Recap!$H18</f>
        <v>777.52182843251569</v>
      </c>
      <c r="G11" s="236">
        <f>[6]Recap!$H18</f>
        <v>529.38040181678389</v>
      </c>
      <c r="H11" s="236">
        <f>[7]Recap!$H18</f>
        <v>636.66240872103094</v>
      </c>
      <c r="I11" s="236">
        <f>[8]Recap!$H17</f>
        <v>308.58281519824573</v>
      </c>
      <c r="J11" s="236">
        <f>[9]Recap!$H17</f>
        <v>142.27751112225255</v>
      </c>
      <c r="K11" s="236">
        <f>[10]Recap!$H17</f>
        <v>375.4693150846831</v>
      </c>
      <c r="L11" s="236">
        <f>[11]Recap!$H16</f>
        <v>1141.4978954745247</v>
      </c>
      <c r="M11" s="236">
        <f>[12]Recap!$H16</f>
        <v>811.42181415609946</v>
      </c>
      <c r="N11" s="236">
        <f>[13]Recap!$H16</f>
        <v>899.18958053767449</v>
      </c>
      <c r="O11" s="236">
        <f>[14]Recap!$H14</f>
        <v>952.91680659858707</v>
      </c>
      <c r="P11" s="237">
        <f>[15]Recap!$H14</f>
        <v>235.07971248301672</v>
      </c>
      <c r="Q11" s="238">
        <f t="shared" si="0"/>
        <v>8463.3439642444228</v>
      </c>
      <c r="R11" s="239">
        <v>2025</v>
      </c>
      <c r="S11" s="240">
        <f>+'Gain action'!B11*S$3</f>
        <v>75.883981440496754</v>
      </c>
      <c r="T11" s="240">
        <f>+'Gain action'!C11*T$3</f>
        <v>98.401254980510288</v>
      </c>
      <c r="U11" s="240">
        <f>+'Gain action'!D11*U$3</f>
        <v>101.50132106974426</v>
      </c>
      <c r="V11" s="240">
        <f>+'Gain action'!E11*V$3</f>
        <v>116.55194395633934</v>
      </c>
      <c r="W11" s="240">
        <f>+'Gain action'!F11*W$3</f>
        <v>184.50592988703599</v>
      </c>
      <c r="X11" s="240">
        <f>+'Gain action'!G11*X$3</f>
        <v>125.62196935112283</v>
      </c>
      <c r="Y11" s="240">
        <f>+'Gain action'!H11*Y$3</f>
        <v>151.07998958950066</v>
      </c>
      <c r="Z11" s="240">
        <f>+'Gain action'!I11*Z$3</f>
        <v>60.57480662341564</v>
      </c>
      <c r="AA11" s="240">
        <f>+'Gain action'!J11*AA$3</f>
        <v>27.929075433298177</v>
      </c>
      <c r="AB11" s="240">
        <f>+'Gain action'!K11*AB$3</f>
        <v>73.704626551123297</v>
      </c>
      <c r="AC11" s="240">
        <f>+'Gain action'!L11*AC$3</f>
        <v>137.77879598377513</v>
      </c>
      <c r="AD11" s="240">
        <f>+'Gain action'!M11*AD$3</f>
        <v>97.938612968641209</v>
      </c>
      <c r="AE11" s="240">
        <f>+'Gain action'!N11*AE$3</f>
        <v>108.53218237089732</v>
      </c>
      <c r="AF11" s="240">
        <f>+'Gain action'!O11*AF$3</f>
        <v>108.15605754893964</v>
      </c>
      <c r="AG11" s="241">
        <f>+'Gain action'!P11*AG$3</f>
        <v>35.75562426866685</v>
      </c>
      <c r="AH11" s="242">
        <f t="shared" si="1"/>
        <v>1503.9161720235072</v>
      </c>
    </row>
    <row r="12" spans="1:34" s="234" customFormat="1" ht="12.75" x14ac:dyDescent="0.2">
      <c r="A12" s="235">
        <v>2026</v>
      </c>
      <c r="B12" s="236">
        <f>[1]Recap!$H19</f>
        <v>315.36416071599774</v>
      </c>
      <c r="C12" s="236">
        <f>[2]Recap!$H19</f>
        <v>410.52312800517728</v>
      </c>
      <c r="D12" s="236">
        <f>[3]Recap!$H19</f>
        <v>329.02661528377888</v>
      </c>
      <c r="E12" s="236">
        <f>[4]Recap!$H19</f>
        <v>389.97881257934006</v>
      </c>
      <c r="F12" s="236">
        <f>[5]Recap!$H19</f>
        <v>549.27378888059502</v>
      </c>
      <c r="G12" s="236">
        <f>[6]Recap!$H19</f>
        <v>524.32628681368112</v>
      </c>
      <c r="H12" s="236">
        <f>[7]Recap!$H19</f>
        <v>617.77226155945425</v>
      </c>
      <c r="I12" s="236">
        <f>[8]Recap!$H18</f>
        <v>304.64264824732578</v>
      </c>
      <c r="J12" s="236">
        <f>[9]Recap!$H18</f>
        <v>141.02491149822077</v>
      </c>
      <c r="K12" s="236">
        <f>[10]Recap!$H18</f>
        <v>372.661444763475</v>
      </c>
      <c r="L12" s="236">
        <f>[11]Recap!$H17</f>
        <v>1134.6759077978384</v>
      </c>
      <c r="M12" s="236">
        <f>[12]Recap!$H17</f>
        <v>806.20470503174499</v>
      </c>
      <c r="N12" s="236">
        <f>[13]Recap!$H17</f>
        <v>581.35140890648654</v>
      </c>
      <c r="O12" s="236">
        <f>[14]Recap!$H15</f>
        <v>947.56887688847632</v>
      </c>
      <c r="P12" s="237">
        <f>[15]Recap!$H15</f>
        <v>233.71559572543342</v>
      </c>
      <c r="Q12" s="238">
        <f t="shared" si="0"/>
        <v>7658.1105526970259</v>
      </c>
      <c r="R12" s="239">
        <v>2026</v>
      </c>
      <c r="S12" s="240">
        <f>+'Gain action'!B12*S$3</f>
        <v>74.835915337906272</v>
      </c>
      <c r="T12" s="240">
        <f>+'Gain action'!C12*T$3</f>
        <v>97.417138275628574</v>
      </c>
      <c r="U12" s="240">
        <f>+'Gain action'!D12*U$3</f>
        <v>78.078015806840739</v>
      </c>
      <c r="V12" s="240">
        <f>+'Gain action'!E12*V$3</f>
        <v>92.541972225077402</v>
      </c>
      <c r="W12" s="240">
        <f>+'Gain action'!F12*W$3</f>
        <v>130.3426701013652</v>
      </c>
      <c r="X12" s="240">
        <f>+'Gain action'!G12*X$3</f>
        <v>124.42262786088654</v>
      </c>
      <c r="Y12" s="240">
        <f>+'Gain action'!H12*Y$3</f>
        <v>146.59735766805849</v>
      </c>
      <c r="Z12" s="240">
        <f>+'Gain action'!I12*Z$3</f>
        <v>59.801351850950049</v>
      </c>
      <c r="AA12" s="240">
        <f>+'Gain action'!J12*AA$3</f>
        <v>27.683190127100737</v>
      </c>
      <c r="AB12" s="240">
        <f>+'Gain action'!K12*AB$3</f>
        <v>73.15344160707015</v>
      </c>
      <c r="AC12" s="240">
        <f>+'Gain action'!L12*AC$3</f>
        <v>136.9553820711991</v>
      </c>
      <c r="AD12" s="240">
        <f>+'Gain action'!M12*AD$3</f>
        <v>97.308907897331622</v>
      </c>
      <c r="AE12" s="240">
        <f>+'Gain action'!N12*AE$3</f>
        <v>70.169115055012924</v>
      </c>
      <c r="AF12" s="240">
        <f>+'Gain action'!O12*AF$3</f>
        <v>107.54906752684207</v>
      </c>
      <c r="AG12" s="241">
        <f>+'Gain action'!P12*AG$3</f>
        <v>35.548142109838423</v>
      </c>
      <c r="AH12" s="242">
        <f t="shared" si="1"/>
        <v>1352.4042955211082</v>
      </c>
    </row>
    <row r="13" spans="1:34" s="234" customFormat="1" ht="12.75" x14ac:dyDescent="0.2">
      <c r="A13" s="235">
        <v>2027</v>
      </c>
      <c r="B13" s="142">
        <f>[1]Recap!$H20</f>
        <v>311.96747840948825</v>
      </c>
      <c r="C13" s="142">
        <f>[2]Recap!$H20</f>
        <v>406.64093583722052</v>
      </c>
      <c r="D13" s="142">
        <f>[3]Recap!$H20</f>
        <v>405.18155993065091</v>
      </c>
      <c r="E13" s="142">
        <f>[4]Recap!$H20</f>
        <v>478.92894850044974</v>
      </c>
      <c r="F13" s="142">
        <f>[5]Recap!$H20</f>
        <v>738.25206354144996</v>
      </c>
      <c r="G13" s="142">
        <f>[6]Recap!$H20</f>
        <v>519.65466103471067</v>
      </c>
      <c r="H13" s="142">
        <f>[7]Recap!$H20</f>
        <v>604.58837856416812</v>
      </c>
      <c r="I13" s="142">
        <f>[8]Recap!$H19</f>
        <v>300.70143866110789</v>
      </c>
      <c r="J13" s="142">
        <f>[9]Recap!$H19</f>
        <v>139.93164975622315</v>
      </c>
      <c r="K13" s="142">
        <f>[10]Recap!$H19</f>
        <v>370.04456219073523</v>
      </c>
      <c r="L13" s="142">
        <f>[11]Recap!$H18</f>
        <v>1128.4156003222333</v>
      </c>
      <c r="M13" s="142">
        <f>[12]Recap!$H18</f>
        <v>801.79302296220112</v>
      </c>
      <c r="N13" s="142">
        <f>[13]Recap!$H18</f>
        <v>759.47828124456043</v>
      </c>
      <c r="O13" s="236">
        <f>[14]Recap!$H16</f>
        <v>942.71220310918056</v>
      </c>
      <c r="P13" s="237">
        <f>[15]Recap!$H16</f>
        <v>232.46380149270334</v>
      </c>
      <c r="Q13" s="243">
        <f t="shared" si="0"/>
        <v>8140.7545855570825</v>
      </c>
      <c r="R13" s="239">
        <v>2027</v>
      </c>
      <c r="S13" s="244">
        <f>+'Gain action'!B13*S$3</f>
        <v>74.029882626571563</v>
      </c>
      <c r="T13" s="244">
        <f>+'Gain action'!C13*T$3</f>
        <v>96.49589407417244</v>
      </c>
      <c r="U13" s="244">
        <f>+'Gain action'!D13*U$3</f>
        <v>96.149584171543466</v>
      </c>
      <c r="V13" s="244">
        <f>+'Gain action'!E13*V$3</f>
        <v>113.64983947915673</v>
      </c>
      <c r="W13" s="244">
        <f>+'Gain action'!F13*W$3</f>
        <v>175.18721467838608</v>
      </c>
      <c r="X13" s="244">
        <f>+'Gain action'!G13*X$3</f>
        <v>123.31405106353685</v>
      </c>
      <c r="Y13" s="244">
        <f>+'Gain action'!H13*Y$3</f>
        <v>143.46882223327711</v>
      </c>
      <c r="Z13" s="244">
        <f>+'Gain action'!I13*Z$3</f>
        <v>59.027692409175479</v>
      </c>
      <c r="AA13" s="244">
        <f>+'Gain action'!J13*AA$3</f>
        <v>27.468582847146607</v>
      </c>
      <c r="AB13" s="244">
        <f>+'Gain action'!K13*AB$3</f>
        <v>72.639747558041321</v>
      </c>
      <c r="AC13" s="244">
        <f>+'Gain action'!L13*AC$3</f>
        <v>136.19976295889356</v>
      </c>
      <c r="AD13" s="244">
        <f>+'Gain action'!M13*AD$3</f>
        <v>96.776417871537674</v>
      </c>
      <c r="AE13" s="244">
        <f>+'Gain action'!N13*AE$3</f>
        <v>91.669028546218442</v>
      </c>
      <c r="AF13" s="244">
        <f>+'Gain action'!O13*AF$3</f>
        <v>106.997835052892</v>
      </c>
      <c r="AG13" s="245">
        <f>+'Gain action'!P13*AG$3</f>
        <v>35.357744207040184</v>
      </c>
      <c r="AH13" s="246">
        <f t="shared" si="1"/>
        <v>1448.4320997775897</v>
      </c>
    </row>
    <row r="14" spans="1:34" x14ac:dyDescent="0.25">
      <c r="A14" s="235">
        <v>2028</v>
      </c>
      <c r="I14" s="142">
        <f>[8]Recap!$H20</f>
        <v>297.76533882464173</v>
      </c>
      <c r="J14" s="142">
        <f>[9]Recap!$H20</f>
        <v>139.34272247867284</v>
      </c>
      <c r="K14" s="142">
        <f>[10]Recap!$H20</f>
        <v>368.34787273155916</v>
      </c>
      <c r="L14" s="142">
        <f>[11]Recap!$H19</f>
        <v>1125.1298362354605</v>
      </c>
      <c r="M14" s="142">
        <f>[12]Recap!$H19</f>
        <v>798.95324910172292</v>
      </c>
      <c r="N14" s="142">
        <f>[13]Recap!$H19</f>
        <v>577.64841134778453</v>
      </c>
      <c r="O14" s="236">
        <f>[14]Recap!$H17</f>
        <v>940.2586555011834</v>
      </c>
      <c r="P14" s="237">
        <f>[15]Recap!$H17</f>
        <v>231.73956444570899</v>
      </c>
      <c r="R14" s="239">
        <v>2028</v>
      </c>
    </row>
    <row r="15" spans="1:34" s="234" customFormat="1" x14ac:dyDescent="0.2">
      <c r="A15" s="235">
        <v>2029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142">
        <f>[11]Recap!$H20</f>
        <v>1116.5358464089941</v>
      </c>
      <c r="M15" s="142">
        <f>[12]Recap!$H20</f>
        <v>792.69861831492244</v>
      </c>
      <c r="N15" s="142">
        <f>[13]Recap!$H20</f>
        <v>754.83958946951293</v>
      </c>
      <c r="O15" s="236">
        <f>[14]Recap!$H18</f>
        <v>933.50161614477724</v>
      </c>
      <c r="P15" s="237">
        <f>[15]Recap!$H18</f>
        <v>230.05360332008377</v>
      </c>
      <c r="Q15" s="243"/>
      <c r="R15" s="239">
        <v>2029</v>
      </c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</row>
    <row r="16" spans="1:34" s="234" customFormat="1" x14ac:dyDescent="0.2">
      <c r="A16" s="235">
        <v>2030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36">
        <f>[14]Recap!$H19</f>
        <v>928.17648575562976</v>
      </c>
      <c r="P16" s="237">
        <f>[15]Recap!$H19</f>
        <v>228.67120159537595</v>
      </c>
      <c r="Q16" s="243"/>
      <c r="R16" s="239">
        <v>2030</v>
      </c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</row>
    <row r="17" spans="1:34" s="234" customFormat="1" x14ac:dyDescent="0.2">
      <c r="A17" s="235">
        <v>2031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36">
        <f>[14]Recap!$H20</f>
        <v>923.38474066590368</v>
      </c>
      <c r="P17" s="237">
        <f>[15]Recap!$H20</f>
        <v>227.43550800873794</v>
      </c>
      <c r="Q17" s="243"/>
      <c r="R17" s="239">
        <v>2031</v>
      </c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</row>
    <row r="18" spans="1:34" s="234" customFormat="1" x14ac:dyDescent="0.2">
      <c r="A18" s="249" t="s">
        <v>57</v>
      </c>
      <c r="B18" s="149">
        <f t="shared" ref="B18:H18" si="2">SUM(B8:B13)</f>
        <v>2223.1085346102805</v>
      </c>
      <c r="C18" s="149">
        <f t="shared" si="2"/>
        <v>3222.2944325667072</v>
      </c>
      <c r="D18" s="149">
        <f t="shared" si="2"/>
        <v>2385.9149628112855</v>
      </c>
      <c r="E18" s="149">
        <f t="shared" si="2"/>
        <v>2672.5689763928553</v>
      </c>
      <c r="F18" s="149">
        <f t="shared" si="2"/>
        <v>4026.6313941383087</v>
      </c>
      <c r="G18" s="149">
        <f t="shared" si="2"/>
        <v>3742.8974582430274</v>
      </c>
      <c r="H18" s="149">
        <f t="shared" si="2"/>
        <v>3377.7637146931206</v>
      </c>
      <c r="I18" s="149">
        <f t="shared" ref="I18:P18" si="3">SUM(I10:I13)</f>
        <v>1197.9954751941066</v>
      </c>
      <c r="J18" s="149">
        <f t="shared" si="3"/>
        <v>562.87132507714364</v>
      </c>
      <c r="K18" s="149">
        <f t="shared" si="3"/>
        <v>1473.3880540663872</v>
      </c>
      <c r="L18" s="149">
        <f t="shared" si="3"/>
        <v>4683.6279500532655</v>
      </c>
      <c r="M18" s="149">
        <f t="shared" si="3"/>
        <v>3201.7942757536052</v>
      </c>
      <c r="N18" s="149">
        <f t="shared" si="3"/>
        <v>3571.7561863228366</v>
      </c>
      <c r="O18" s="149">
        <f t="shared" si="3"/>
        <v>3913.7014828291785</v>
      </c>
      <c r="P18" s="149">
        <f t="shared" si="3"/>
        <v>954.69359714357051</v>
      </c>
      <c r="Q18" s="243">
        <f>SUM(B18:P18)</f>
        <v>41211.007819895676</v>
      </c>
      <c r="R18" s="250" t="s">
        <v>57</v>
      </c>
      <c r="S18" s="251">
        <f t="shared" ref="S18:Y18" si="4">SUM(S8:S13)</f>
        <v>527.54365526301956</v>
      </c>
      <c r="T18" s="251">
        <f t="shared" si="4"/>
        <v>764.65046884807953</v>
      </c>
      <c r="U18" s="251">
        <f t="shared" si="4"/>
        <v>566.17762067511808</v>
      </c>
      <c r="V18" s="251">
        <f t="shared" si="4"/>
        <v>634.20061809802473</v>
      </c>
      <c r="W18" s="251">
        <f t="shared" si="4"/>
        <v>955.5196298290208</v>
      </c>
      <c r="X18" s="251">
        <f t="shared" si="4"/>
        <v>888.18956684107047</v>
      </c>
      <c r="Y18" s="251">
        <f t="shared" si="4"/>
        <v>801.54332949667764</v>
      </c>
      <c r="Z18" s="251">
        <f>SUM(Z9:Z13)</f>
        <v>297.51356244533946</v>
      </c>
      <c r="AA18" s="251">
        <f>SUM(AA9:AA13)</f>
        <v>144.73920610484561</v>
      </c>
      <c r="AB18" s="251">
        <f>SUM(AB9:AB13)</f>
        <v>378.76230468170212</v>
      </c>
      <c r="AC18" s="251">
        <f>SUM(AC8:AC13)</f>
        <v>921.6389352249123</v>
      </c>
      <c r="AD18" s="251">
        <f>SUM(AD8:AD13)</f>
        <v>676.81949155639757</v>
      </c>
      <c r="AE18" s="251">
        <f>SUM(AE8:AE13)</f>
        <v>613.12416967545823</v>
      </c>
      <c r="AF18" s="251">
        <f>SUM(AF8:AF13)</f>
        <v>444.20511830111178</v>
      </c>
      <c r="AG18" s="251">
        <f>SUM(AG8:AG13)</f>
        <v>145.20889612553708</v>
      </c>
      <c r="AH18" s="251">
        <f>SUM(S18:AG18)</f>
        <v>8759.8365731663162</v>
      </c>
    </row>
    <row r="19" spans="1:34" s="234" customFormat="1" x14ac:dyDescent="0.25">
      <c r="A19" s="25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43"/>
      <c r="R19" s="253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212"/>
    </row>
    <row r="20" spans="1:34" s="256" customFormat="1" ht="15.75" x14ac:dyDescent="0.25">
      <c r="A20" s="254" t="s">
        <v>70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43"/>
      <c r="R20" s="255" t="s">
        <v>70</v>
      </c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2"/>
    </row>
    <row r="21" spans="1:34" ht="33.75" x14ac:dyDescent="0.25">
      <c r="A21" s="88" t="s">
        <v>4</v>
      </c>
      <c r="B21" s="12" t="s">
        <v>5</v>
      </c>
      <c r="C21" s="12" t="s">
        <v>6</v>
      </c>
      <c r="D21" s="12" t="s">
        <v>7</v>
      </c>
      <c r="E21" s="12" t="s">
        <v>8</v>
      </c>
      <c r="F21" s="12" t="s">
        <v>9</v>
      </c>
      <c r="G21" s="12" t="s">
        <v>10</v>
      </c>
      <c r="H21" s="12" t="s">
        <v>11</v>
      </c>
      <c r="I21" s="12" t="s">
        <v>12</v>
      </c>
      <c r="J21" s="12" t="s">
        <v>13</v>
      </c>
      <c r="K21" s="12" t="s">
        <v>14</v>
      </c>
      <c r="L21" s="12" t="s">
        <v>15</v>
      </c>
      <c r="M21" s="12" t="s">
        <v>16</v>
      </c>
      <c r="N21" s="12" t="s">
        <v>17</v>
      </c>
      <c r="O21" s="12" t="s">
        <v>18</v>
      </c>
      <c r="P21" s="12" t="s">
        <v>19</v>
      </c>
      <c r="Q21" s="214" t="s">
        <v>56</v>
      </c>
      <c r="R21" s="215" t="s">
        <v>4</v>
      </c>
      <c r="S21" s="12" t="s">
        <v>5</v>
      </c>
      <c r="T21" s="12" t="s">
        <v>6</v>
      </c>
      <c r="U21" s="12" t="s">
        <v>7</v>
      </c>
      <c r="V21" s="12" t="s">
        <v>8</v>
      </c>
      <c r="W21" s="12" t="s">
        <v>9</v>
      </c>
      <c r="X21" s="12" t="s">
        <v>10</v>
      </c>
      <c r="Y21" s="12" t="s">
        <v>11</v>
      </c>
      <c r="Z21" s="12" t="s">
        <v>12</v>
      </c>
      <c r="AA21" s="12" t="s">
        <v>13</v>
      </c>
      <c r="AB21" s="12" t="s">
        <v>14</v>
      </c>
      <c r="AC21" s="12" t="s">
        <v>15</v>
      </c>
      <c r="AD21" s="12" t="s">
        <v>16</v>
      </c>
      <c r="AE21" s="12" t="s">
        <v>17</v>
      </c>
      <c r="AF21" s="12" t="s">
        <v>18</v>
      </c>
      <c r="AG21" s="12" t="s">
        <v>19</v>
      </c>
      <c r="AH21" s="216" t="s">
        <v>69</v>
      </c>
    </row>
    <row r="22" spans="1:34" x14ac:dyDescent="0.25">
      <c r="A22" s="217">
        <v>2021</v>
      </c>
      <c r="B22" s="152">
        <f>[1]Recap!$I14</f>
        <v>-1.6599989140942988</v>
      </c>
      <c r="C22" s="152">
        <f>[2]Recap!$I14</f>
        <v>-0.76147889062777985</v>
      </c>
      <c r="D22" s="152">
        <f>[3]Recap!$I14</f>
        <v>-6.4182154756231125E-2</v>
      </c>
      <c r="E22" s="152">
        <f>[4]Recap!$I14</f>
        <v>-2.4040267854287145E-2</v>
      </c>
      <c r="F22" s="152">
        <f>[5]Recap!$I14</f>
        <v>83.540651782642328</v>
      </c>
      <c r="G22" s="152">
        <f>[6]Recap!$I14</f>
        <v>-0.29237109502494407</v>
      </c>
      <c r="H22" s="152">
        <f>[7]Recap!$I14</f>
        <v>-4.5560801234965567</v>
      </c>
      <c r="I22" s="152"/>
      <c r="J22" s="152"/>
      <c r="K22" s="152"/>
      <c r="L22" s="152"/>
      <c r="M22" s="152"/>
      <c r="N22" s="152"/>
      <c r="O22" s="152"/>
      <c r="P22" s="153"/>
      <c r="Q22" s="257">
        <f>SUM(B22:P22)</f>
        <v>76.182500336788223</v>
      </c>
      <c r="R22" s="219">
        <v>2021</v>
      </c>
      <c r="S22" s="258">
        <f>+'Gain action'!B22*S$3</f>
        <v>-0.3939177423145771</v>
      </c>
      <c r="T22" s="258">
        <f>+'Gain action'!C22*T$3</f>
        <v>-0.18069894074597218</v>
      </c>
      <c r="U22" s="258">
        <f>+'Gain action'!D22*U$3</f>
        <v>-1.5230425323653646E-2</v>
      </c>
      <c r="V22" s="258">
        <f>+'Gain action'!E22*V$3</f>
        <v>-5.7047555618223401E-3</v>
      </c>
      <c r="W22" s="258">
        <f>+'Gain action'!F22*W$3</f>
        <v>19.824196668021024</v>
      </c>
      <c r="X22" s="258">
        <f>+'Gain action'!G22*X$3</f>
        <v>-6.9379660849419225E-2</v>
      </c>
      <c r="Y22" s="258">
        <f>+'Gain action'!H22*Y$3</f>
        <v>-1.0811578133057329</v>
      </c>
      <c r="Z22" s="258"/>
      <c r="AA22" s="258"/>
      <c r="AB22" s="258"/>
      <c r="AC22" s="258"/>
      <c r="AD22" s="258"/>
      <c r="AE22" s="258"/>
      <c r="AF22" s="258"/>
      <c r="AG22" s="259"/>
      <c r="AH22" s="260">
        <f>SUM(S22:AG22)</f>
        <v>18.078107329919849</v>
      </c>
    </row>
    <row r="23" spans="1:34" s="223" customFormat="1" ht="12.75" x14ac:dyDescent="0.2">
      <c r="A23" s="217">
        <v>2022</v>
      </c>
      <c r="B23" s="152">
        <f>[1]Recap!$I15</f>
        <v>-1.9937197098665465</v>
      </c>
      <c r="C23" s="152">
        <f>[2]Recap!$I15</f>
        <v>-1.028148077575409</v>
      </c>
      <c r="D23" s="152">
        <f>[3]Recap!$I15</f>
        <v>-9.003125290007441E-2</v>
      </c>
      <c r="E23" s="152">
        <f>[4]Recap!$I15</f>
        <v>-3.5250962824366794E-2</v>
      </c>
      <c r="F23" s="152">
        <f>[5]Recap!$I15</f>
        <v>64.954744971390653</v>
      </c>
      <c r="G23" s="152">
        <f>[6]Recap!$I15</f>
        <v>-0.38478662776655437</v>
      </c>
      <c r="H23" s="152">
        <f>[7]Recap!$I15</f>
        <v>-4.291747278890341</v>
      </c>
      <c r="I23" s="152">
        <f>[8]Recap!$I14</f>
        <v>0.17860601135433996</v>
      </c>
      <c r="J23" s="152">
        <f>[9]Recap!$I14</f>
        <v>-0.37798961774554662</v>
      </c>
      <c r="K23" s="152">
        <f>[10]Recap!$I14</f>
        <v>-2.816996816921663E-2</v>
      </c>
      <c r="L23" s="152">
        <f>[11]Recap!$I13</f>
        <v>-1.8110199155422779E-2</v>
      </c>
      <c r="M23" s="152">
        <f>[12]Recap!$I13</f>
        <v>-0.19202420549369137</v>
      </c>
      <c r="N23" s="152"/>
      <c r="O23" s="152"/>
      <c r="P23" s="156"/>
      <c r="Q23" s="257">
        <f t="shared" ref="Q23:Q29" si="5">SUM(B23:P23)</f>
        <v>56.693373082357823</v>
      </c>
      <c r="R23" s="219">
        <v>2022</v>
      </c>
      <c r="S23" s="258">
        <f>+'Gain action'!B23*S$3</f>
        <v>-0.4731096871513315</v>
      </c>
      <c r="T23" s="258">
        <f>+'Gain action'!C23*T$3</f>
        <v>-0.24397953880864459</v>
      </c>
      <c r="U23" s="258">
        <f>+'Gain action'!D23*U$3</f>
        <v>-2.1364416313187657E-2</v>
      </c>
      <c r="V23" s="258">
        <f>+'Gain action'!E23*V$3</f>
        <v>-8.3650534782222404E-3</v>
      </c>
      <c r="W23" s="258">
        <f>+'Gain action'!F23*W$3</f>
        <v>15.413760981711002</v>
      </c>
      <c r="X23" s="258">
        <f>+'Gain action'!G23*X$3</f>
        <v>-9.1309866769003351E-2</v>
      </c>
      <c r="Y23" s="258">
        <f>+'Gain action'!H23*Y$3</f>
        <v>-1.0184316292806779</v>
      </c>
      <c r="Z23" s="258">
        <f>+'Gain action'!I23*Z$3</f>
        <v>3.5060360028856936E-2</v>
      </c>
      <c r="AA23" s="258">
        <f>+'Gain action'!J23*AA$3</f>
        <v>-7.4199361963450797E-2</v>
      </c>
      <c r="AB23" s="258">
        <f>+'Gain action'!K23*AB$3</f>
        <v>-5.5297647516172246E-3</v>
      </c>
      <c r="AC23" s="258">
        <f>+'Gain action'!L23*AC$3</f>
        <v>-2.1859010380595296E-3</v>
      </c>
      <c r="AD23" s="258">
        <f>+'Gain action'!M23*AD$3</f>
        <v>-2.3177321603088549E-2</v>
      </c>
      <c r="AE23" s="258"/>
      <c r="AF23" s="258"/>
      <c r="AG23" s="259"/>
      <c r="AH23" s="260">
        <f t="shared" ref="AH23:AH29" si="6">SUM(S23:AG23)</f>
        <v>13.487168800582575</v>
      </c>
    </row>
    <row r="24" spans="1:34" s="234" customFormat="1" ht="12.75" x14ac:dyDescent="0.2">
      <c r="A24" s="224">
        <v>2023</v>
      </c>
      <c r="B24" s="225">
        <f>[1]Recap!$I16</f>
        <v>-2.7660777468428392</v>
      </c>
      <c r="C24" s="226">
        <f>[2]Recap!$I16</f>
        <v>-2.1466251426651226</v>
      </c>
      <c r="D24" s="226">
        <f>[3]Recap!$I16</f>
        <v>-0.1776523058629067</v>
      </c>
      <c r="E24" s="226">
        <f>[4]Recap!$I16</f>
        <v>-5.91716952083301E-2</v>
      </c>
      <c r="F24" s="226">
        <f>[5]Recap!$I16</f>
        <v>76.039921496784757</v>
      </c>
      <c r="G24" s="226">
        <f>[6]Recap!$I16</f>
        <v>-0.62176155184746484</v>
      </c>
      <c r="H24" s="226">
        <f>[7]Recap!$I16</f>
        <v>-8.235418110492418</v>
      </c>
      <c r="I24" s="226">
        <f>[8]Recap!$I15</f>
        <v>1.0794078340521125</v>
      </c>
      <c r="J24" s="226">
        <f>[9]Recap!$I15</f>
        <v>-0.20407358942010134</v>
      </c>
      <c r="K24" s="226">
        <f>[10]Recap!$I15</f>
        <v>-1.8360694764684604E-2</v>
      </c>
      <c r="L24" s="226">
        <f>[11]Recap!$I14</f>
        <v>-3.632409478008547E-2</v>
      </c>
      <c r="M24" s="226">
        <f>[12]Recap!$I14</f>
        <v>-0.16658853594001677</v>
      </c>
      <c r="N24" s="226">
        <f>[13]Recap!$I14</f>
        <v>-2.7382640635814526E-2</v>
      </c>
      <c r="O24" s="226"/>
      <c r="P24" s="227"/>
      <c r="Q24" s="228">
        <f t="shared" si="5"/>
        <v>62.659893222377086</v>
      </c>
      <c r="R24" s="229">
        <v>2023</v>
      </c>
      <c r="S24" s="230">
        <f>+'Gain action'!B24*S$3</f>
        <v>-0.65639024932580581</v>
      </c>
      <c r="T24" s="231">
        <f>+'Gain action'!C24*T$3</f>
        <v>-0.50939414635443359</v>
      </c>
      <c r="U24" s="231">
        <f>+'Gain action'!D24*U$3</f>
        <v>-4.2156892181267759E-2</v>
      </c>
      <c r="V24" s="231">
        <f>+'Gain action'!E24*V$3</f>
        <v>-1.4041443272936733E-2</v>
      </c>
      <c r="W24" s="231">
        <f>+'Gain action'!F24*W$3</f>
        <v>18.044273371187025</v>
      </c>
      <c r="X24" s="231">
        <f>+'Gain action'!G24*X$3</f>
        <v>-0.14754401625340341</v>
      </c>
      <c r="Y24" s="231">
        <f>+'Gain action'!H24*Y$3</f>
        <v>-1.9542647176198509</v>
      </c>
      <c r="Z24" s="231">
        <f>+'Gain action'!I24*Z$3</f>
        <v>0.21188775782442967</v>
      </c>
      <c r="AA24" s="231">
        <f>+'Gain action'!J24*AA$3</f>
        <v>-4.0059645603165897E-2</v>
      </c>
      <c r="AB24" s="231">
        <f>+'Gain action'!K24*AB$3</f>
        <v>-3.6042043823075877E-3</v>
      </c>
      <c r="AC24" s="231">
        <f>+'Gain action'!L24*AC$3</f>
        <v>-4.384318239956316E-3</v>
      </c>
      <c r="AD24" s="231">
        <f>+'Gain action'!M24*AD$3</f>
        <v>-2.0107236287960024E-2</v>
      </c>
      <c r="AE24" s="231">
        <f>+'Gain action'!N24*AE$3</f>
        <v>-3.3050847247428133E-3</v>
      </c>
      <c r="AF24" s="231"/>
      <c r="AG24" s="232"/>
      <c r="AH24" s="233">
        <f t="shared" si="6"/>
        <v>14.860909174765627</v>
      </c>
    </row>
    <row r="25" spans="1:34" s="234" customFormat="1" ht="12.75" x14ac:dyDescent="0.2">
      <c r="A25" s="235">
        <v>2024</v>
      </c>
      <c r="B25" s="236">
        <f>[1]Recap!$I17</f>
        <v>-2.4904734911513131</v>
      </c>
      <c r="C25" s="236">
        <f>[2]Recap!$I17</f>
        <v>-1.6684058828595845</v>
      </c>
      <c r="D25" s="236">
        <f>[3]Recap!$I17</f>
        <v>-0.18032715621491313</v>
      </c>
      <c r="E25" s="236">
        <f>[4]Recap!$I17</f>
        <v>-6.6658118742486616E-2</v>
      </c>
      <c r="F25" s="236">
        <f>[5]Recap!$I17</f>
        <v>85.250292153599759</v>
      </c>
      <c r="G25" s="236">
        <f>[6]Recap!$I17</f>
        <v>-0.55604473659403908</v>
      </c>
      <c r="H25" s="236">
        <f>[7]Recap!$I17</f>
        <v>-12.12632639154802</v>
      </c>
      <c r="I25" s="236">
        <f>[8]Recap!$I16</f>
        <v>1.5217471177519855</v>
      </c>
      <c r="J25" s="236">
        <f>[9]Recap!$I16</f>
        <v>-0.21751654305820978</v>
      </c>
      <c r="K25" s="236">
        <f>[10]Recap!$I16</f>
        <v>-1.9956268206066885E-2</v>
      </c>
      <c r="L25" s="236">
        <f>[11]Recap!$I15</f>
        <v>-3.8251325897334487E-2</v>
      </c>
      <c r="M25" s="236">
        <f>[12]Recap!$I15</f>
        <v>-0.2146855262473224</v>
      </c>
      <c r="N25" s="236">
        <f>[13]Recap!$I15</f>
        <v>-4.9983423868017018E-2</v>
      </c>
      <c r="O25" s="236">
        <f>[14]Recap!$I13</f>
        <v>-0.20028882294843342</v>
      </c>
      <c r="P25" s="237">
        <f>[15]Recap!$I13</f>
        <v>-0.13533587779502554</v>
      </c>
      <c r="Q25" s="238">
        <f t="shared" si="5"/>
        <v>68.807785706220969</v>
      </c>
      <c r="R25" s="239">
        <v>2024</v>
      </c>
      <c r="S25" s="240">
        <f>+'Gain action'!B25*S$3</f>
        <v>-0.59098935945020659</v>
      </c>
      <c r="T25" s="240">
        <f>+'Gain action'!C25*T$3</f>
        <v>-0.39591271600257943</v>
      </c>
      <c r="U25" s="240">
        <f>+'Gain action'!D25*U$3</f>
        <v>-4.2791634169798885E-2</v>
      </c>
      <c r="V25" s="240">
        <f>+'Gain action'!E25*V$3</f>
        <v>-1.5817971577592075E-2</v>
      </c>
      <c r="W25" s="240">
        <f>+'Gain action'!F25*W$3</f>
        <v>20.229894328049223</v>
      </c>
      <c r="X25" s="240">
        <f>+'Gain action'!G25*X$3</f>
        <v>-0.13194941599376547</v>
      </c>
      <c r="Y25" s="240">
        <f>+'Gain action'!H25*Y$3</f>
        <v>-2.8775772527143451</v>
      </c>
      <c r="Z25" s="240">
        <f>+'Gain action'!I25*Z$3</f>
        <v>0.29871895921471475</v>
      </c>
      <c r="AA25" s="240">
        <f>+'Gain action'!J25*AA$3</f>
        <v>-4.2698497402326577E-2</v>
      </c>
      <c r="AB25" s="240">
        <f>+'Gain action'!K25*AB$3</f>
        <v>-3.91741544885093E-3</v>
      </c>
      <c r="AC25" s="240">
        <f>+'Gain action'!L25*AC$3</f>
        <v>-4.616935035808273E-3</v>
      </c>
      <c r="AD25" s="240">
        <f>+'Gain action'!M25*AD$3</f>
        <v>-2.5912543018051813E-2</v>
      </c>
      <c r="AE25" s="240">
        <f>+'Gain action'!N25*AE$3</f>
        <v>-6.0329992608696538E-3</v>
      </c>
      <c r="AF25" s="240">
        <f>+'Gain action'!O25*AF$3</f>
        <v>-2.2732781404647195E-2</v>
      </c>
      <c r="AG25" s="241">
        <f>+'Gain action'!P25*AG$3</f>
        <v>-2.0584587012623386E-2</v>
      </c>
      <c r="AH25" s="242">
        <f t="shared" si="6"/>
        <v>16.347079178772464</v>
      </c>
    </row>
    <row r="26" spans="1:34" s="234" customFormat="1" ht="12.75" x14ac:dyDescent="0.2">
      <c r="A26" s="235">
        <v>2025</v>
      </c>
      <c r="B26" s="236">
        <f>[1]Recap!$I18</f>
        <v>29.493768427351998</v>
      </c>
      <c r="C26" s="236">
        <f>[2]Recap!$I18</f>
        <v>32.253311422466872</v>
      </c>
      <c r="D26" s="236">
        <f>[3]Recap!$I18</f>
        <v>4.3107115538216805</v>
      </c>
      <c r="E26" s="236">
        <f>[4]Recap!$I18</f>
        <v>1.7350957376400948</v>
      </c>
      <c r="F26" s="236">
        <f>[5]Recap!$I18</f>
        <v>92.555289894039362</v>
      </c>
      <c r="G26" s="236">
        <f>[6]Recap!$I18</f>
        <v>7.709539765639815</v>
      </c>
      <c r="H26" s="236">
        <f>[7]Recap!$I18</f>
        <v>160.29433461185278</v>
      </c>
      <c r="I26" s="236">
        <f>[8]Recap!$I17</f>
        <v>1.1524131941895632</v>
      </c>
      <c r="J26" s="236">
        <f>[9]Recap!$I17</f>
        <v>-0.28014452127105827</v>
      </c>
      <c r="K26" s="236">
        <f>[10]Recap!$I17</f>
        <v>-2.69772510053361E-2</v>
      </c>
      <c r="L26" s="236">
        <f>[11]Recap!$I16</f>
        <v>-4.5257417136767231E-2</v>
      </c>
      <c r="M26" s="236">
        <f>[12]Recap!$I16</f>
        <v>-0.30711657523084668</v>
      </c>
      <c r="N26" s="236">
        <f>[13]Recap!$I16</f>
        <v>-5.6723599124250512E-2</v>
      </c>
      <c r="O26" s="236">
        <f>[14]Recap!$I14</f>
        <v>-0.25261124111310274</v>
      </c>
      <c r="P26" s="237">
        <f>[15]Recap!$I14</f>
        <v>-0.17434805365170014</v>
      </c>
      <c r="Q26" s="238">
        <f t="shared" si="5"/>
        <v>328.36128594846906</v>
      </c>
      <c r="R26" s="239">
        <v>2025</v>
      </c>
      <c r="S26" s="240">
        <f>+'Gain action'!B26*S$3</f>
        <v>6.9988712478106292</v>
      </c>
      <c r="T26" s="240">
        <f>+'Gain action'!C26*T$3</f>
        <v>7.653710800551389</v>
      </c>
      <c r="U26" s="240">
        <f>+'Gain action'!D26*U$3</f>
        <v>1.0229318517218848</v>
      </c>
      <c r="V26" s="240">
        <f>+'Gain action'!E26*V$3</f>
        <v>0.41173821854199455</v>
      </c>
      <c r="W26" s="240">
        <f>+'Gain action'!F26*W$3</f>
        <v>21.96337029185554</v>
      </c>
      <c r="X26" s="240">
        <f>+'Gain action'!G26*X$3</f>
        <v>1.8294737863863282</v>
      </c>
      <c r="Y26" s="240">
        <f>+'Gain action'!H26*Y$3</f>
        <v>38.037845603392668</v>
      </c>
      <c r="Z26" s="240">
        <f>+'Gain action'!I26*Z$3</f>
        <v>0.22621871001941127</v>
      </c>
      <c r="AA26" s="240">
        <f>+'Gain action'!J26*AA$3</f>
        <v>-5.499236952550874E-2</v>
      </c>
      <c r="AB26" s="240">
        <f>+'Gain action'!K26*AB$3</f>
        <v>-5.2956343723474762E-3</v>
      </c>
      <c r="AC26" s="240">
        <f>+'Gain action'!L26*AC$3</f>
        <v>-5.4625702484078047E-3</v>
      </c>
      <c r="AD26" s="240">
        <f>+'Gain action'!M26*AD$3</f>
        <v>-3.7068970630363192E-2</v>
      </c>
      <c r="AE26" s="240">
        <f>+'Gain action'!N26*AE$3</f>
        <v>-6.8465384142970369E-3</v>
      </c>
      <c r="AF26" s="240">
        <f>+'Gain action'!O26*AF$3</f>
        <v>-2.8671375866337161E-2</v>
      </c>
      <c r="AG26" s="241">
        <f>+'Gain action'!P26*AG$3</f>
        <v>-2.6518338960423594E-2</v>
      </c>
      <c r="AH26" s="242">
        <f t="shared" si="6"/>
        <v>77.979304712262163</v>
      </c>
    </row>
    <row r="27" spans="1:34" s="234" customFormat="1" ht="12.75" x14ac:dyDescent="0.2">
      <c r="A27" s="235">
        <v>2026</v>
      </c>
      <c r="B27" s="236">
        <f>[1]Recap!$I19</f>
        <v>54.329462175659089</v>
      </c>
      <c r="C27" s="236">
        <f>[2]Recap!$I19</f>
        <v>40.537427507226695</v>
      </c>
      <c r="D27" s="236">
        <f>[3]Recap!$I19</f>
        <v>5.1622134433750571</v>
      </c>
      <c r="E27" s="236">
        <f>[4]Recap!$I19</f>
        <v>2.5139966386656636</v>
      </c>
      <c r="F27" s="236">
        <f>[5]Recap!$I19</f>
        <v>99.66277656399231</v>
      </c>
      <c r="G27" s="236">
        <f>[6]Recap!$I19</f>
        <v>11.871435302886017</v>
      </c>
      <c r="H27" s="236">
        <f>[7]Recap!$I19</f>
        <v>284.96604432968928</v>
      </c>
      <c r="I27" s="236">
        <f>[8]Recap!$I18</f>
        <v>76.469626395990872</v>
      </c>
      <c r="J27" s="236">
        <f>[9]Recap!$I18</f>
        <v>9.2414642651615928</v>
      </c>
      <c r="K27" s="236">
        <f>[10]Recap!$I18</f>
        <v>0.75223145367926325</v>
      </c>
      <c r="L27" s="236">
        <f>[11]Recap!$I17</f>
        <v>-5.8281586414054676E-2</v>
      </c>
      <c r="M27" s="236">
        <f>[12]Recap!$I17</f>
        <v>-0.4114873103527259</v>
      </c>
      <c r="N27" s="236">
        <f>[13]Recap!$I17</f>
        <v>-6.9283788872280816E-2</v>
      </c>
      <c r="O27" s="236">
        <f>[14]Recap!$I15</f>
        <v>-0.33494260042720825</v>
      </c>
      <c r="P27" s="237">
        <f>[15]Recap!$I15</f>
        <v>-0.22866738012861987</v>
      </c>
      <c r="Q27" s="238">
        <f t="shared" si="5"/>
        <v>584.40401541013091</v>
      </c>
      <c r="R27" s="239">
        <v>2026</v>
      </c>
      <c r="S27" s="240">
        <f>+'Gain action'!B27*S$3</f>
        <v>12.892381374283902</v>
      </c>
      <c r="T27" s="240">
        <f>+'Gain action'!C27*T$3</f>
        <v>9.619531547464895</v>
      </c>
      <c r="U27" s="240">
        <f>+'Gain action'!D27*U$3</f>
        <v>1.2249932501129011</v>
      </c>
      <c r="V27" s="240">
        <f>+'Gain action'!E27*V$3</f>
        <v>0.59657140235536199</v>
      </c>
      <c r="W27" s="240">
        <f>+'Gain action'!F27*W$3</f>
        <v>23.649976878635375</v>
      </c>
      <c r="X27" s="240">
        <f>+'Gain action'!G27*X$3</f>
        <v>2.8170915973748518</v>
      </c>
      <c r="Y27" s="240">
        <f>+'Gain action'!H27*Y$3</f>
        <v>67.622442319435265</v>
      </c>
      <c r="Z27" s="240">
        <f>+'Gain action'!I27*Z$3</f>
        <v>15.010987661533008</v>
      </c>
      <c r="AA27" s="240">
        <f>+'Gain action'!J27*AA$3</f>
        <v>1.8140994352512207</v>
      </c>
      <c r="AB27" s="240">
        <f>+'Gain action'!K27*AB$3</f>
        <v>0.14766303435723938</v>
      </c>
      <c r="AC27" s="240">
        <f>+'Gain action'!L27*AC$3</f>
        <v>-7.0345874801763996E-3</v>
      </c>
      <c r="AD27" s="240">
        <f>+'Gain action'!M27*AD$3</f>
        <v>-4.9666518359574016E-2</v>
      </c>
      <c r="AE27" s="240">
        <f>+'Gain action'!N27*AE$3</f>
        <v>-8.3625533168842948E-3</v>
      </c>
      <c r="AF27" s="240">
        <f>+'Gain action'!O27*AF$3</f>
        <v>-3.8015985148488141E-2</v>
      </c>
      <c r="AG27" s="241">
        <f>+'Gain action'!P27*AG$3</f>
        <v>-3.4780308517563086E-2</v>
      </c>
      <c r="AH27" s="242">
        <f t="shared" si="6"/>
        <v>135.25787854798136</v>
      </c>
    </row>
    <row r="28" spans="1:34" s="234" customFormat="1" ht="12.75" x14ac:dyDescent="0.2">
      <c r="A28" s="235">
        <v>2027</v>
      </c>
      <c r="B28" s="142">
        <f>[1]Recap!$I20</f>
        <v>56.043511808171218</v>
      </c>
      <c r="C28" s="142">
        <f>[2]Recap!$I20</f>
        <v>45.210663444758282</v>
      </c>
      <c r="D28" s="142">
        <f>[3]Recap!$I20</f>
        <v>5.3646407530639699</v>
      </c>
      <c r="E28" s="142">
        <f>[4]Recap!$I20</f>
        <v>2.9789861757049763</v>
      </c>
      <c r="F28" s="142">
        <f>[5]Recap!$I20</f>
        <v>98.539182759668847</v>
      </c>
      <c r="G28" s="142">
        <f>[6]Recap!$I20</f>
        <v>13.185157978471418</v>
      </c>
      <c r="H28" s="142">
        <f>[7]Recap!$I20</f>
        <v>323.71355879971907</v>
      </c>
      <c r="I28" s="142">
        <f>[8]Recap!$I19</f>
        <v>123.36777436367076</v>
      </c>
      <c r="J28" s="142">
        <f>[9]Recap!$I19</f>
        <v>12.443179532658064</v>
      </c>
      <c r="K28" s="142">
        <f>[10]Recap!$I19</f>
        <v>1.1715308112500016</v>
      </c>
      <c r="L28" s="142">
        <f>[11]Recap!$I18</f>
        <v>2.2991864933085049</v>
      </c>
      <c r="M28" s="142">
        <f>[12]Recap!$I18</f>
        <v>20.699497237547497</v>
      </c>
      <c r="N28" s="142">
        <f>[13]Recap!$I18</f>
        <v>6.3322192060132512</v>
      </c>
      <c r="O28" s="142">
        <f>[14]Recap!$I16</f>
        <v>-0.42227658321433026</v>
      </c>
      <c r="P28" s="146">
        <f>[15]Recap!$I16</f>
        <v>-0.2857169962936883</v>
      </c>
      <c r="Q28" s="243">
        <f t="shared" si="5"/>
        <v>710.64109578449791</v>
      </c>
      <c r="R28" s="239">
        <v>2027</v>
      </c>
      <c r="S28" s="244">
        <f>+'Gain action'!B28*S$3</f>
        <v>13.299125352079031</v>
      </c>
      <c r="T28" s="244">
        <f>+'Gain action'!C28*T$3</f>
        <v>10.728490435441142</v>
      </c>
      <c r="U28" s="244">
        <f>+'Gain action'!D28*U$3</f>
        <v>1.2730292507020802</v>
      </c>
      <c r="V28" s="244">
        <f>+'Gain action'!E28*V$3</f>
        <v>0.70691341949479092</v>
      </c>
      <c r="W28" s="244">
        <f>+'Gain action'!F28*W$3</f>
        <v>23.38334806886942</v>
      </c>
      <c r="X28" s="244">
        <f>+'Gain action'!G28*X$3</f>
        <v>3.1288379882912678</v>
      </c>
      <c r="Y28" s="244">
        <f>+'Gain action'!H28*Y$3</f>
        <v>76.817227503173342</v>
      </c>
      <c r="Z28" s="244">
        <f>+'Gain action'!I28*Z$3</f>
        <v>24.217094107588572</v>
      </c>
      <c r="AA28" s="244">
        <f>+'Gain action'!J28*AA$3</f>
        <v>2.4425961422607778</v>
      </c>
      <c r="AB28" s="244">
        <f>+'Gain action'!K28*AB$3</f>
        <v>0.22997149824837532</v>
      </c>
      <c r="AC28" s="244">
        <f>+'Gain action'!L28*AC$3</f>
        <v>0.27751180974233652</v>
      </c>
      <c r="AD28" s="244">
        <f>+'Gain action'!M28*AD$3</f>
        <v>2.4984293165719831</v>
      </c>
      <c r="AE28" s="244">
        <f>+'Gain action'!N28*AE$3</f>
        <v>0.76429885816579946</v>
      </c>
      <c r="AF28" s="244">
        <f>+'Gain action'!O28*AF$3</f>
        <v>-4.7928392194826488E-2</v>
      </c>
      <c r="AG28" s="245">
        <f>+'Gain action'!P28*AG$3</f>
        <v>-4.345755513626999E-2</v>
      </c>
      <c r="AH28" s="246">
        <f t="shared" si="6"/>
        <v>159.67548780329787</v>
      </c>
    </row>
    <row r="29" spans="1:34" s="234" customFormat="1" x14ac:dyDescent="0.2">
      <c r="A29" s="261" t="s">
        <v>57</v>
      </c>
      <c r="B29" s="165">
        <f t="shared" ref="B29:H29" si="7">SUM(B23:B28)</f>
        <v>132.6164714633216</v>
      </c>
      <c r="C29" s="165">
        <f t="shared" si="7"/>
        <v>113.15822327135173</v>
      </c>
      <c r="D29" s="165">
        <f t="shared" si="7"/>
        <v>14.389555035282813</v>
      </c>
      <c r="E29" s="165">
        <f t="shared" si="7"/>
        <v>7.0669977752355511</v>
      </c>
      <c r="F29" s="165">
        <f t="shared" si="7"/>
        <v>517.00220783947566</v>
      </c>
      <c r="G29" s="165">
        <f t="shared" si="7"/>
        <v>31.203540130789193</v>
      </c>
      <c r="H29" s="165">
        <f t="shared" si="7"/>
        <v>744.32044596033029</v>
      </c>
      <c r="I29" s="165">
        <f t="shared" ref="I29:P29" si="8">SUM(I25:I28)</f>
        <v>202.51156107160318</v>
      </c>
      <c r="J29" s="165">
        <f t="shared" si="8"/>
        <v>21.186982733490389</v>
      </c>
      <c r="K29" s="165">
        <f t="shared" si="8"/>
        <v>1.8768287457178618</v>
      </c>
      <c r="L29" s="165">
        <f t="shared" si="8"/>
        <v>2.1573961638603487</v>
      </c>
      <c r="M29" s="165">
        <f>SUM(M25:M28)</f>
        <v>19.766207825716602</v>
      </c>
      <c r="N29" s="165">
        <f t="shared" si="8"/>
        <v>6.1562283941487026</v>
      </c>
      <c r="O29" s="165">
        <f t="shared" si="8"/>
        <v>-1.2101192477030747</v>
      </c>
      <c r="P29" s="165">
        <f t="shared" si="8"/>
        <v>-0.82406830786903384</v>
      </c>
      <c r="Q29" s="243">
        <f t="shared" si="5"/>
        <v>1811.3784588547517</v>
      </c>
      <c r="R29" s="262" t="s">
        <v>57</v>
      </c>
      <c r="S29" s="263">
        <f t="shared" ref="S29:Y29" si="9">SUM(S23:S28)</f>
        <v>31.469888678246217</v>
      </c>
      <c r="T29" s="263">
        <f t="shared" si="9"/>
        <v>26.85244638229177</v>
      </c>
      <c r="U29" s="263">
        <f>SUM(U23:U28)</f>
        <v>3.4146414098726119</v>
      </c>
      <c r="V29" s="263">
        <f t="shared" si="9"/>
        <v>1.6769985720633964</v>
      </c>
      <c r="W29" s="263">
        <f t="shared" si="9"/>
        <v>122.68462392030759</v>
      </c>
      <c r="X29" s="263">
        <f t="shared" si="9"/>
        <v>7.404600073036276</v>
      </c>
      <c r="Y29" s="263">
        <f t="shared" si="9"/>
        <v>176.62724182638641</v>
      </c>
      <c r="Z29" s="263">
        <f>SUM(Z24:Z28)</f>
        <v>39.964907196180135</v>
      </c>
      <c r="AA29" s="263">
        <f>SUM(AA24:AA28)</f>
        <v>4.1189450649809976</v>
      </c>
      <c r="AB29" s="263">
        <f>SUM(AB24:AB28)</f>
        <v>0.3648172784021087</v>
      </c>
      <c r="AC29" s="263">
        <f>SUM(AC23:AC28)</f>
        <v>0.25382749769992818</v>
      </c>
      <c r="AD29" s="263">
        <f>SUM(AD23:AD28)</f>
        <v>2.3424967266729455</v>
      </c>
      <c r="AE29" s="263">
        <f>SUM(AE23:AE28)</f>
        <v>0.73975168244900569</v>
      </c>
      <c r="AF29" s="263">
        <f>SUM(AF23:AF28)</f>
        <v>-0.13734853461429897</v>
      </c>
      <c r="AG29" s="263">
        <f>SUM(AG23:AG28)</f>
        <v>-0.12534078962688006</v>
      </c>
      <c r="AH29" s="263">
        <f t="shared" si="6"/>
        <v>417.65249698434826</v>
      </c>
    </row>
    <row r="30" spans="1:34" s="234" customFormat="1" x14ac:dyDescent="0.2">
      <c r="A30" s="19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83"/>
      <c r="AH30" s="264"/>
    </row>
    <row r="31" spans="1:34" s="265" customFormat="1" x14ac:dyDescent="0.2">
      <c r="A31" s="19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83"/>
      <c r="AH31" s="266"/>
    </row>
    <row r="32" spans="1:34" s="265" customFormat="1" x14ac:dyDescent="0.2">
      <c r="A32" s="19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83"/>
      <c r="R32" s="267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workbookViewId="0">
      <selection activeCell="M9" sqref="M9"/>
    </sheetView>
  </sheetViews>
  <sheetFormatPr baseColWidth="10" defaultRowHeight="15" x14ac:dyDescent="0.25"/>
  <cols>
    <col min="1" max="1" width="5.7109375" customWidth="1"/>
    <col min="2" max="16" width="8.42578125" style="2" customWidth="1"/>
    <col min="17" max="17" width="6" style="126" bestFit="1" customWidth="1"/>
    <col min="18" max="18" width="1.140625" customWidth="1"/>
    <col min="19" max="19" width="5.7109375" customWidth="1"/>
    <col min="20" max="26" width="8.42578125" style="2" customWidth="1"/>
    <col min="27" max="27" width="8.42578125" style="125" customWidth="1"/>
    <col min="28" max="29" width="8.42578125" style="2" customWidth="1"/>
    <col min="30" max="34" width="8.42578125" style="125" customWidth="1"/>
  </cols>
  <sheetData>
    <row r="1" spans="1:34" ht="18.75" x14ac:dyDescent="0.3">
      <c r="A1" s="1" t="s">
        <v>53</v>
      </c>
      <c r="Q1" s="124"/>
      <c r="S1" s="1" t="s">
        <v>54</v>
      </c>
    </row>
    <row r="2" spans="1:34" ht="7.5" customHeight="1" x14ac:dyDescent="0.3">
      <c r="A2" s="1"/>
      <c r="S2" s="1"/>
    </row>
    <row r="3" spans="1:34" ht="15.75" x14ac:dyDescent="0.25">
      <c r="A3" s="5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27"/>
      <c r="S3" s="5" t="s">
        <v>55</v>
      </c>
      <c r="T3" s="6"/>
      <c r="U3" s="6"/>
      <c r="V3" s="6"/>
      <c r="W3" s="6"/>
      <c r="X3" s="6"/>
      <c r="Y3" s="6"/>
      <c r="Z3" s="6"/>
      <c r="AB3" s="6"/>
      <c r="AC3" s="6"/>
    </row>
    <row r="4" spans="1:34" s="15" customFormat="1" ht="33.75" x14ac:dyDescent="0.2">
      <c r="A4" s="88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28" t="s">
        <v>56</v>
      </c>
      <c r="S4" s="11" t="s">
        <v>4</v>
      </c>
      <c r="T4" s="12" t="s">
        <v>5</v>
      </c>
      <c r="U4" s="12" t="s">
        <v>6</v>
      </c>
      <c r="V4" s="12" t="s">
        <v>7</v>
      </c>
      <c r="W4" s="12" t="s">
        <v>8</v>
      </c>
      <c r="X4" s="12" t="s">
        <v>9</v>
      </c>
      <c r="Y4" s="12" t="s">
        <v>10</v>
      </c>
      <c r="Z4" s="12" t="s">
        <v>11</v>
      </c>
      <c r="AA4" s="129" t="s">
        <v>12</v>
      </c>
      <c r="AB4" s="12" t="s">
        <v>13</v>
      </c>
      <c r="AC4" s="12" t="s">
        <v>14</v>
      </c>
      <c r="AD4" s="129" t="s">
        <v>15</v>
      </c>
      <c r="AE4" s="129" t="s">
        <v>16</v>
      </c>
      <c r="AF4" s="129" t="s">
        <v>17</v>
      </c>
      <c r="AG4" s="12" t="s">
        <v>18</v>
      </c>
      <c r="AH4" s="12" t="s">
        <v>19</v>
      </c>
    </row>
    <row r="5" spans="1:34" s="15" customFormat="1" ht="12.75" x14ac:dyDescent="0.2">
      <c r="A5" s="16">
        <v>2018</v>
      </c>
      <c r="B5" s="130">
        <f>[1]Recap!$C11</f>
        <v>104.45963514175737</v>
      </c>
      <c r="C5" s="130">
        <f>[1]Recap!$C11</f>
        <v>104.45963514175737</v>
      </c>
      <c r="D5" s="130">
        <f>[3]Recap!$C11</f>
        <v>36.932606393934712</v>
      </c>
      <c r="E5" s="130">
        <f>[4]Recap!$C11</f>
        <v>30.609239625815459</v>
      </c>
      <c r="F5" s="130">
        <f>[5]Recap!$C11</f>
        <v>33.012472000524284</v>
      </c>
      <c r="G5" s="130">
        <f>[6]Recap!$C11</f>
        <v>24.420032290291541</v>
      </c>
      <c r="H5" s="130">
        <f>[7]Recap!$C11</f>
        <v>30.552063883907749</v>
      </c>
      <c r="I5" s="130"/>
      <c r="J5" s="130"/>
      <c r="K5" s="130"/>
      <c r="L5" s="130"/>
      <c r="M5" s="130"/>
      <c r="N5" s="130"/>
      <c r="O5" s="130"/>
      <c r="P5" s="131"/>
      <c r="Q5" s="127">
        <f>SUM(B5:P5)</f>
        <v>364.44568447798849</v>
      </c>
      <c r="S5" s="16">
        <v>2018</v>
      </c>
      <c r="T5" s="132">
        <f>[1]Recap!$F35</f>
        <v>2.3139818916091848E-2</v>
      </c>
      <c r="U5" s="132">
        <f>[2]Recap!$F35</f>
        <v>1.3832790032349813E-2</v>
      </c>
      <c r="V5" s="132">
        <f>[3]Recap!$F35</f>
        <v>8.4529321930039529E-3</v>
      </c>
      <c r="W5" s="132">
        <f>[4]Recap!$F35</f>
        <v>6.6168115946364887E-3</v>
      </c>
      <c r="X5" s="132">
        <f>[5]Recap!$F35</f>
        <v>1.3078589487783501E-2</v>
      </c>
      <c r="Y5" s="132">
        <f>[6]Recap!$F35</f>
        <v>1.7658570172236029E-2</v>
      </c>
      <c r="Z5" s="132">
        <f>[7]Recap!$F35</f>
        <v>2.2338239950172905E-2</v>
      </c>
      <c r="AA5" s="132"/>
      <c r="AB5" s="130"/>
      <c r="AC5" s="130"/>
      <c r="AD5" s="132"/>
      <c r="AE5" s="132"/>
      <c r="AF5" s="132"/>
      <c r="AG5" s="132"/>
      <c r="AH5" s="133"/>
    </row>
    <row r="6" spans="1:34" s="15" customFormat="1" ht="12.75" x14ac:dyDescent="0.2">
      <c r="A6" s="16">
        <v>2019</v>
      </c>
      <c r="B6" s="130">
        <f>[1]Recap!$C12</f>
        <v>507.07282394770164</v>
      </c>
      <c r="C6" s="130">
        <f>[1]Recap!$C12</f>
        <v>507.07282394770164</v>
      </c>
      <c r="D6" s="130">
        <f>[3]Recap!$C12</f>
        <v>285.97822596912249</v>
      </c>
      <c r="E6" s="130">
        <f>[4]Recap!$C12</f>
        <v>253.32286439712462</v>
      </c>
      <c r="F6" s="130">
        <f>[5]Recap!$C12</f>
        <v>575.07137572209467</v>
      </c>
      <c r="G6" s="130">
        <f>[6]Recap!$C12</f>
        <v>601.13820574501779</v>
      </c>
      <c r="H6" s="130">
        <f>[7]Recap!$C12</f>
        <v>767.13225606728577</v>
      </c>
      <c r="I6" s="130">
        <f>[8]Recap!$C11</f>
        <v>129.71298858848573</v>
      </c>
      <c r="J6" s="130">
        <f>[9]Recap!$C11</f>
        <v>160.22566753486308</v>
      </c>
      <c r="K6" s="130">
        <f>[10]Recap!$C11</f>
        <v>180.06133510994408</v>
      </c>
      <c r="L6" s="130"/>
      <c r="M6" s="130"/>
      <c r="N6" s="130"/>
      <c r="O6" s="130"/>
      <c r="P6" s="134"/>
      <c r="Q6" s="127">
        <f t="shared" ref="Q6:Q15" si="0">SUM(B6:P6)</f>
        <v>3966.7885670293413</v>
      </c>
      <c r="S6" s="16">
        <v>2019</v>
      </c>
      <c r="T6" s="132">
        <f>[1]Recap!$F36</f>
        <v>6.7281657117784069E-2</v>
      </c>
      <c r="U6" s="132">
        <f>[2]Recap!$F36</f>
        <v>4.64662655805008E-2</v>
      </c>
      <c r="V6" s="132">
        <f>[3]Recap!$F36</f>
        <v>2.4484271937245897E-2</v>
      </c>
      <c r="W6" s="132">
        <f>[4]Recap!$F36</f>
        <v>2.1318245012230778E-2</v>
      </c>
      <c r="X6" s="132">
        <f>[5]Recap!$F36</f>
        <v>5.469328384139921E-2</v>
      </c>
      <c r="Y6" s="132">
        <f>[6]Recap!$F36</f>
        <v>5.4861483830057303E-2</v>
      </c>
      <c r="Z6" s="132">
        <f>[7]Recap!$F36</f>
        <v>7.0713003173555944E-2</v>
      </c>
      <c r="AA6" s="132">
        <f>[8]Recap!$F35</f>
        <v>1.2866445097281678E-2</v>
      </c>
      <c r="AB6" s="132">
        <f>[9]Recap!$F35</f>
        <v>1.5565898553265435E-2</v>
      </c>
      <c r="AC6" s="132">
        <f>[10]Recap!$F35</f>
        <v>1.7322603295289271E-2</v>
      </c>
      <c r="AD6" s="132"/>
      <c r="AE6" s="132"/>
      <c r="AF6" s="132"/>
      <c r="AG6" s="132"/>
      <c r="AH6" s="135"/>
    </row>
    <row r="7" spans="1:34" s="15" customFormat="1" ht="12.75" x14ac:dyDescent="0.2">
      <c r="A7" s="16">
        <v>2020</v>
      </c>
      <c r="B7" s="130">
        <f>[1]Recap!$C13</f>
        <v>741.96867869641869</v>
      </c>
      <c r="C7" s="130">
        <f>[1]Recap!$C13</f>
        <v>741.96867869641869</v>
      </c>
      <c r="D7" s="130">
        <f>[3]Recap!$C13</f>
        <v>455.92146644226523</v>
      </c>
      <c r="E7" s="130">
        <f>[4]Recap!$C13</f>
        <v>457.78952847373029</v>
      </c>
      <c r="F7" s="130">
        <f>[5]Recap!$C13</f>
        <v>992.19515441245949</v>
      </c>
      <c r="G7" s="130">
        <f>[6]Recap!$C13</f>
        <v>1052.335449772987</v>
      </c>
      <c r="H7" s="130">
        <f>[7]Recap!$C13</f>
        <v>1278.2745582991847</v>
      </c>
      <c r="I7" s="130">
        <f>[8]Recap!$C12</f>
        <v>366.89761327029095</v>
      </c>
      <c r="J7" s="130">
        <f>[9]Recap!$C12</f>
        <v>461.22295909605776</v>
      </c>
      <c r="K7" s="130">
        <f>[10]Recap!$C12</f>
        <v>512.71335922203446</v>
      </c>
      <c r="L7" s="130">
        <f>[11]Recap!$C11</f>
        <v>735.93705271694512</v>
      </c>
      <c r="M7" s="130">
        <f>[12]Recap!$C11</f>
        <v>527.34274757565163</v>
      </c>
      <c r="N7" s="130">
        <f>[13]Recap!$C11</f>
        <v>145.71079101358038</v>
      </c>
      <c r="O7" s="130"/>
      <c r="P7" s="134"/>
      <c r="Q7" s="127">
        <f t="shared" si="0"/>
        <v>8470.2780376880237</v>
      </c>
      <c r="S7" s="16">
        <v>2020</v>
      </c>
      <c r="T7" s="132">
        <f>[1]Recap!$F37</f>
        <v>0.10342521867152105</v>
      </c>
      <c r="U7" s="132">
        <f>[2]Recap!$F37</f>
        <v>7.9871403999922944E-2</v>
      </c>
      <c r="V7" s="132">
        <f>[3]Recap!$F37</f>
        <v>4.0275122779894493E-2</v>
      </c>
      <c r="W7" s="132">
        <f>[4]Recap!$F37</f>
        <v>3.9995627830974871E-2</v>
      </c>
      <c r="X7" s="132">
        <f>[5]Recap!$F37</f>
        <v>9.9958663397224992E-2</v>
      </c>
      <c r="Y7" s="132">
        <f>[6]Recap!$F37</f>
        <v>0.10048154472285574</v>
      </c>
      <c r="Z7" s="132">
        <f>[7]Recap!$F37</f>
        <v>0.12771989740558692</v>
      </c>
      <c r="AA7" s="132">
        <f>[8]Recap!$F36</f>
        <v>3.2107379766274258E-2</v>
      </c>
      <c r="AB7" s="132">
        <f>[9]Recap!$F36</f>
        <v>4.0132050151129466E-2</v>
      </c>
      <c r="AC7" s="132">
        <f>[10]Recap!$F36</f>
        <v>4.4142983731602067E-2</v>
      </c>
      <c r="AD7" s="132">
        <f>[11]Recap!$F35</f>
        <v>1.5759589698497976E-2</v>
      </c>
      <c r="AE7" s="132">
        <f>[12]Recap!$F35</f>
        <v>1.1334393836478921E-2</v>
      </c>
      <c r="AF7" s="132">
        <f>[13]Recap!$F35</f>
        <v>5.6556228080375933E-3</v>
      </c>
      <c r="AG7" s="132"/>
      <c r="AH7" s="135"/>
    </row>
    <row r="8" spans="1:34" s="15" customFormat="1" ht="12.75" x14ac:dyDescent="0.2">
      <c r="A8" s="16">
        <v>2021</v>
      </c>
      <c r="B8" s="130">
        <f>[1]Recap!$C14</f>
        <v>398.89595030755072</v>
      </c>
      <c r="C8" s="130">
        <f>[2]Recap!$C14</f>
        <v>404.81144990838033</v>
      </c>
      <c r="D8" s="130">
        <f>[3]Recap!$C14</f>
        <v>249.67904070489021</v>
      </c>
      <c r="E8" s="130">
        <f>[4]Recap!$C14</f>
        <v>280.10141859979717</v>
      </c>
      <c r="F8" s="130">
        <f>[5]Recap!$C14</f>
        <v>617.85034858846996</v>
      </c>
      <c r="G8" s="130">
        <f>[6]Recap!$C14</f>
        <v>618.6689035315336</v>
      </c>
      <c r="H8" s="130">
        <f>[7]Recap!$C14</f>
        <v>877.12569765304715</v>
      </c>
      <c r="I8" s="130">
        <f>[8]Recap!$C13</f>
        <v>521.02846258409818</v>
      </c>
      <c r="J8" s="130">
        <f>[9]Recap!$C13</f>
        <v>744.45236324571476</v>
      </c>
      <c r="K8" s="130">
        <f>[10]Recap!$C13</f>
        <v>947.64458872461057</v>
      </c>
      <c r="L8" s="130">
        <f>[11]Recap!$C12</f>
        <v>1466.8051397519837</v>
      </c>
      <c r="M8" s="130">
        <f>[12]Recap!$C12</f>
        <v>1749.1243121915923</v>
      </c>
      <c r="N8" s="130">
        <f>[13]Recap!$C12</f>
        <v>559.08096936676816</v>
      </c>
      <c r="O8" s="130"/>
      <c r="P8" s="134"/>
      <c r="Q8" s="127">
        <f t="shared" si="0"/>
        <v>9435.2686451584377</v>
      </c>
      <c r="S8" s="16">
        <v>2021</v>
      </c>
      <c r="T8" s="132">
        <f>[1]Recap!$F38</f>
        <v>5.5010862046536435E-2</v>
      </c>
      <c r="U8" s="132">
        <f>[2]Recap!$F38</f>
        <v>3.6164232981732221E-2</v>
      </c>
      <c r="V8" s="132">
        <f>[3]Recap!$F38</f>
        <v>2.2240989009378057E-2</v>
      </c>
      <c r="W8" s="132">
        <f>[4]Recap!$F38</f>
        <v>2.4581160282345516E-2</v>
      </c>
      <c r="X8" s="132">
        <f>[5]Recap!$F38</f>
        <v>6.1424257065985741E-2</v>
      </c>
      <c r="Y8" s="132">
        <f>[6]Recap!$F38</f>
        <v>5.8568994388270339E-2</v>
      </c>
      <c r="Z8" s="132">
        <f>[7]Recap!$F38</f>
        <v>8.6628355225119927E-2</v>
      </c>
      <c r="AA8" s="132">
        <f>[8]Recap!$F37</f>
        <v>4.7782205151160759E-2</v>
      </c>
      <c r="AB8" s="132">
        <f>[9]Recap!$F37</f>
        <v>6.7892504425883932E-2</v>
      </c>
      <c r="AC8" s="132">
        <f>[10]Recap!$F37</f>
        <v>8.6648927570793649E-2</v>
      </c>
      <c r="AD8" s="132">
        <f>[11]Recap!$F36</f>
        <v>3.3637201482409493E-2</v>
      </c>
      <c r="AE8" s="132">
        <f>[12]Recap!$F36</f>
        <v>3.8480409365322155E-2</v>
      </c>
      <c r="AF8" s="132">
        <f>[13]Recap!$F36</f>
        <v>1.3083410656443382E-2</v>
      </c>
      <c r="AG8" s="132"/>
      <c r="AH8" s="135"/>
    </row>
    <row r="9" spans="1:34" s="43" customFormat="1" ht="12.75" x14ac:dyDescent="0.2">
      <c r="A9" s="136">
        <v>2022</v>
      </c>
      <c r="B9" s="137">
        <f>[1]Recap!$C15</f>
        <v>601.50009124311646</v>
      </c>
      <c r="C9" s="137">
        <f>[2]Recap!$C15</f>
        <v>795.70679483449362</v>
      </c>
      <c r="D9" s="137">
        <f>[3]Recap!$C15</f>
        <v>464.549706459432</v>
      </c>
      <c r="E9" s="137">
        <f>[4]Recap!$C15</f>
        <v>471.85430734159564</v>
      </c>
      <c r="F9" s="137">
        <f>[5]Recap!$C15</f>
        <v>1046.2670328009367</v>
      </c>
      <c r="G9" s="137">
        <f>[6]Recap!$C15</f>
        <v>983.35663543557212</v>
      </c>
      <c r="H9" s="137">
        <f>[7]Recap!$C15</f>
        <v>1409.4394233069897</v>
      </c>
      <c r="I9" s="137">
        <f>[8]Recap!$C14</f>
        <v>354.46051124708316</v>
      </c>
      <c r="J9" s="137">
        <f>[9]Recap!$C14</f>
        <v>413.32843494688854</v>
      </c>
      <c r="K9" s="137">
        <f>[10]Recap!$C14</f>
        <v>516.19061622073082</v>
      </c>
      <c r="L9" s="137">
        <f>[11]Recap!$C13</f>
        <v>1241.4110604236721</v>
      </c>
      <c r="M9" s="137">
        <f>[12]Recap!$C13</f>
        <v>909.20571508251612</v>
      </c>
      <c r="N9" s="137">
        <f>[13]Recap!$C13</f>
        <v>1793.3258118020576</v>
      </c>
      <c r="O9" s="137">
        <f>[14]Recap!$C11</f>
        <v>975.46900518979078</v>
      </c>
      <c r="P9" s="138">
        <f>[15]Recap!$C11</f>
        <v>171.33526937231565</v>
      </c>
      <c r="Q9" s="139">
        <f t="shared" si="0"/>
        <v>12147.40041570719</v>
      </c>
      <c r="S9" s="136">
        <v>2022</v>
      </c>
      <c r="T9" s="140">
        <f>[1]Recap!$F39</f>
        <v>8.2066513585501252E-2</v>
      </c>
      <c r="U9" s="140">
        <f>[2]Recap!$F39</f>
        <v>7.1997045409124799E-2</v>
      </c>
      <c r="V9" s="140">
        <f>[3]Recap!$F39</f>
        <v>4.0878522946332305E-2</v>
      </c>
      <c r="W9" s="140">
        <f>[4]Recap!$F39</f>
        <v>4.1274884496331612E-2</v>
      </c>
      <c r="X9" s="140">
        <f>[5]Recap!$F39</f>
        <v>0.10814025260464089</v>
      </c>
      <c r="Y9" s="140">
        <f>[6]Recap!$F39</f>
        <v>9.150835972314636E-2</v>
      </c>
      <c r="Z9" s="140">
        <f>[7]Recap!$F39</f>
        <v>0.13972581590977767</v>
      </c>
      <c r="AA9" s="140">
        <f>[8]Recap!$F38</f>
        <v>3.0156458155402827E-2</v>
      </c>
      <c r="AB9" s="140">
        <f>[9]Recap!$F38</f>
        <v>3.4950554449981144E-2</v>
      </c>
      <c r="AC9" s="140">
        <f>[10]Recap!$F38</f>
        <v>4.3468339145651673E-2</v>
      </c>
      <c r="AD9" s="140">
        <f>[11]Recap!$F37</f>
        <v>2.5499195570433755E-2</v>
      </c>
      <c r="AE9" s="140">
        <f>[12]Recap!$F37</f>
        <v>1.9095836738424476E-2</v>
      </c>
      <c r="AF9" s="140">
        <f>[13]Recap!$F37</f>
        <v>4.1707658943991616E-2</v>
      </c>
      <c r="AG9" s="140">
        <f>[14]Recap!$F35</f>
        <v>2.0742102046489776E-2</v>
      </c>
      <c r="AH9" s="141">
        <f>[15]Recap!$F35</f>
        <v>1.4934919672471136E-2</v>
      </c>
    </row>
    <row r="10" spans="1:34" s="43" customFormat="1" ht="12.75" x14ac:dyDescent="0.2">
      <c r="A10" s="33">
        <v>2023</v>
      </c>
      <c r="B10" s="142">
        <f>[1]Recap!$C16</f>
        <v>380.97537047202411</v>
      </c>
      <c r="C10" s="142">
        <f>[2]Recap!$C16</f>
        <v>497.26301737182001</v>
      </c>
      <c r="D10" s="142">
        <f>[3]Recap!$C16</f>
        <v>293.21311823019437</v>
      </c>
      <c r="E10" s="142">
        <f>[4]Recap!$C16</f>
        <v>295.5279462288367</v>
      </c>
      <c r="F10" s="142">
        <f>[5]Recap!$C16</f>
        <v>615.79049431461908</v>
      </c>
      <c r="G10" s="142">
        <f>[6]Recap!$C16</f>
        <v>599.58224703228234</v>
      </c>
      <c r="H10" s="142">
        <f>[7]Recap!$C16</f>
        <v>573.42235007598697</v>
      </c>
      <c r="I10" s="142">
        <f>[8]Recap!$C15</f>
        <v>216.22881522416878</v>
      </c>
      <c r="J10" s="142">
        <f>[9]Recap!$C15</f>
        <v>127.56465016556164</v>
      </c>
      <c r="K10" s="142">
        <f>[10]Recap!$C15</f>
        <v>282.77249932944187</v>
      </c>
      <c r="L10" s="142">
        <f>[11]Recap!$C14</f>
        <v>1076.5689647928473</v>
      </c>
      <c r="M10" s="142">
        <f>[12]Recap!$C14</f>
        <v>585.16555077214161</v>
      </c>
      <c r="N10" s="142">
        <f>[13]Recap!$C14</f>
        <v>1016.3090036700739</v>
      </c>
      <c r="O10" s="142">
        <f>[14]Recap!$C12</f>
        <v>639.79464943285348</v>
      </c>
      <c r="P10" s="143">
        <f>[15]Recap!$C12</f>
        <v>138.62298861166656</v>
      </c>
      <c r="Q10" s="142">
        <f t="shared" si="0"/>
        <v>7338.8016657245189</v>
      </c>
      <c r="S10" s="33">
        <v>2023</v>
      </c>
      <c r="T10" s="144">
        <f>[1]Recap!$F40</f>
        <v>5.082921954836421E-2</v>
      </c>
      <c r="U10" s="144">
        <f>[2]Recap!$F40</f>
        <v>4.4182741771424353E-2</v>
      </c>
      <c r="V10" s="144">
        <f>[3]Recap!$F40</f>
        <v>2.5652885496264516E-2</v>
      </c>
      <c r="W10" s="144">
        <f>[4]Recap!$F40</f>
        <v>2.5666886946453259E-2</v>
      </c>
      <c r="X10" s="144">
        <f>[5]Recap!$F40</f>
        <v>6.1464328749039822E-2</v>
      </c>
      <c r="Y10" s="144">
        <f>[6]Recap!$F40</f>
        <v>5.4111801315013634E-2</v>
      </c>
      <c r="Z10" s="144">
        <f>[7]Recap!$F40</f>
        <v>5.305324348880603E-2</v>
      </c>
      <c r="AA10" s="144">
        <f>[8]Recap!$F39</f>
        <v>1.8365535951656645E-2</v>
      </c>
      <c r="AB10" s="144">
        <f>[9]Recap!$F39</f>
        <v>2.3992567515709013E-2</v>
      </c>
      <c r="AC10" s="144">
        <f>[10]Recap!$F39</f>
        <v>2.3550814936775976E-2</v>
      </c>
      <c r="AD10" s="144">
        <f>[11]Recap!$F38</f>
        <v>2.2203765362636081E-2</v>
      </c>
      <c r="AE10" s="144">
        <f>[12]Recap!$F38</f>
        <v>1.2318394501883864E-2</v>
      </c>
      <c r="AF10" s="144">
        <f>[13]Recap!$F38</f>
        <v>2.3409068756175183E-2</v>
      </c>
      <c r="AG10" s="144">
        <f>[14]Recap!$F36</f>
        <v>1.3615772616826449E-2</v>
      </c>
      <c r="AH10" s="145">
        <f>[15]Recap!$F36</f>
        <v>1.2015904358536724E-2</v>
      </c>
    </row>
    <row r="11" spans="1:34" s="43" customFormat="1" ht="12.75" x14ac:dyDescent="0.2">
      <c r="A11" s="33">
        <v>2024</v>
      </c>
      <c r="B11" s="142">
        <f>[1]Recap!$C17</f>
        <v>309.10766244226608</v>
      </c>
      <c r="C11" s="142">
        <f>[2]Recap!$C17</f>
        <v>315.74740777644956</v>
      </c>
      <c r="D11" s="142">
        <f>[3]Recap!$C17</f>
        <v>412.89279851164281</v>
      </c>
      <c r="E11" s="142">
        <f>[4]Recap!$C17</f>
        <v>465.67846509484457</v>
      </c>
      <c r="F11" s="142">
        <f>[5]Recap!$C17</f>
        <v>907.51277474620213</v>
      </c>
      <c r="G11" s="142">
        <f>[6]Recap!$C17</f>
        <v>480.84631753199074</v>
      </c>
      <c r="H11" s="142">
        <f>[7]Recap!$C17</f>
        <v>671.26324195215989</v>
      </c>
      <c r="I11" s="142">
        <f>[8]Recap!$C16</f>
        <v>251.01743772073755</v>
      </c>
      <c r="J11" s="142">
        <f>[9]Recap!$C16</f>
        <v>131.17525514222788</v>
      </c>
      <c r="K11" s="142">
        <f>[10]Recap!$C16</f>
        <v>312.06836373388603</v>
      </c>
      <c r="L11" s="142">
        <f>[11]Recap!$C15</f>
        <v>925.1543584912132</v>
      </c>
      <c r="M11" s="142">
        <f>[12]Recap!$C15</f>
        <v>631.8697097183599</v>
      </c>
      <c r="N11" s="142">
        <f>[13]Recap!$C15</f>
        <v>1000.796226854453</v>
      </c>
      <c r="O11" s="142">
        <f>[14]Recap!$C13</f>
        <v>486.46759049234277</v>
      </c>
      <c r="P11" s="143">
        <f>[15]Recap!$C13</f>
        <v>115.57516329161803</v>
      </c>
      <c r="Q11" s="142">
        <f t="shared" si="0"/>
        <v>7417.1727735003942</v>
      </c>
      <c r="S11" s="33">
        <v>2024</v>
      </c>
      <c r="T11" s="144">
        <f>[1]Recap!$F41</f>
        <v>4.0886515905021216E-2</v>
      </c>
      <c r="U11" s="144">
        <f>[2]Recap!$F41</f>
        <v>2.7580049148588706E-2</v>
      </c>
      <c r="V11" s="144">
        <f>[3]Recap!$F41</f>
        <v>3.6482143227972177E-2</v>
      </c>
      <c r="W11" s="144">
        <f>[4]Recap!$F41</f>
        <v>4.1032905245788114E-2</v>
      </c>
      <c r="X11" s="144">
        <f>[5]Recap!$F41</f>
        <v>9.4069372217246455E-2</v>
      </c>
      <c r="Y11" s="144">
        <f>[6]Recap!$F41</f>
        <v>4.2892162259622051E-2</v>
      </c>
      <c r="Z11" s="144">
        <f>[7]Recap!$F41</f>
        <v>6.3190917952528514E-2</v>
      </c>
      <c r="AA11" s="144">
        <f>[8]Recap!$F40</f>
        <v>2.141288825836727E-2</v>
      </c>
      <c r="AB11" s="144">
        <f>[9]Recap!$F40</f>
        <v>2.4680122373911716E-2</v>
      </c>
      <c r="AC11" s="144">
        <f>[10]Recap!$F40</f>
        <v>2.60211398643432E-2</v>
      </c>
      <c r="AD11" s="144">
        <f>[11]Recap!$F39</f>
        <v>1.8995335134485532E-2</v>
      </c>
      <c r="AE11" s="144">
        <f>[12]Recap!$F39</f>
        <v>1.3298455187047416E-2</v>
      </c>
      <c r="AF11" s="144">
        <f>[13]Recap!$F39</f>
        <v>2.3011470571037029E-2</v>
      </c>
      <c r="AG11" s="144">
        <f>[14]Recap!$F37</f>
        <v>1.0306745343126452E-2</v>
      </c>
      <c r="AH11" s="145">
        <f>[15]Recap!$F37</f>
        <v>9.9909554869409035E-3</v>
      </c>
    </row>
    <row r="12" spans="1:34" s="43" customFormat="1" ht="12.75" x14ac:dyDescent="0.2">
      <c r="A12" s="33">
        <v>2025</v>
      </c>
      <c r="B12" s="142">
        <f>[1]Recap!$C18</f>
        <v>307.06676161167871</v>
      </c>
      <c r="C12" s="142">
        <f>[2]Recap!$C18</f>
        <v>312.60558634856272</v>
      </c>
      <c r="D12" s="142">
        <f>[3]Recap!$C18</f>
        <v>259.5432740334428</v>
      </c>
      <c r="E12" s="142">
        <f>[4]Recap!$C18</f>
        <v>283.47408840734846</v>
      </c>
      <c r="F12" s="142">
        <f>[5]Recap!$C18</f>
        <v>569.70989200693418</v>
      </c>
      <c r="G12" s="142">
        <f>[6]Recap!$C18</f>
        <v>475.19959970857417</v>
      </c>
      <c r="H12" s="142">
        <f>[7]Recap!$C18</f>
        <v>676.60211684299975</v>
      </c>
      <c r="I12" s="142">
        <f>[8]Recap!$C17</f>
        <v>247.36703936425531</v>
      </c>
      <c r="J12" s="142">
        <f>[9]Recap!$C17</f>
        <v>130.28588156250848</v>
      </c>
      <c r="K12" s="142">
        <f>[10]Recap!$C17</f>
        <v>308.56914614988716</v>
      </c>
      <c r="L12" s="142">
        <f>[11]Recap!$C16</f>
        <v>916.50395967864495</v>
      </c>
      <c r="M12" s="142">
        <f>[12]Recap!$C16</f>
        <v>625.91869640311131</v>
      </c>
      <c r="N12" s="142">
        <f>[13]Recap!$C16</f>
        <v>695.15482076191586</v>
      </c>
      <c r="O12" s="142">
        <f>[14]Recap!$C14</f>
        <v>481.52329374592892</v>
      </c>
      <c r="P12" s="143">
        <f>[15]Recap!$C14</f>
        <v>114.30925661176516</v>
      </c>
      <c r="Q12" s="142">
        <f t="shared" si="0"/>
        <v>6403.8334132375576</v>
      </c>
      <c r="S12" s="33">
        <v>2025</v>
      </c>
      <c r="T12" s="144">
        <f>[1]Recap!$F42</f>
        <v>4.0466334926113866E-2</v>
      </c>
      <c r="U12" s="144">
        <f>[2]Recap!$F42</f>
        <v>2.725610065455664E-2</v>
      </c>
      <c r="V12" s="144">
        <f>[3]Recap!$F42</f>
        <v>2.2638076664082969E-2</v>
      </c>
      <c r="W12" s="144">
        <f>[4]Recap!$F42</f>
        <v>2.4600643017354481E-2</v>
      </c>
      <c r="X12" s="144">
        <f>[5]Recap!$F42</f>
        <v>5.7458241556336109E-2</v>
      </c>
      <c r="Y12" s="144">
        <f>[6]Recap!$F42</f>
        <v>4.2398891408130336E-2</v>
      </c>
      <c r="Z12" s="144">
        <f>[7]Recap!$F42</f>
        <v>6.2637310636263668E-2</v>
      </c>
      <c r="AA12" s="144">
        <f>[8]Recap!$F41</f>
        <v>2.1194949371448335E-2</v>
      </c>
      <c r="AB12" s="144">
        <f>[9]Recap!$F41</f>
        <v>2.4565147863215932E-2</v>
      </c>
      <c r="AC12" s="144">
        <f>[10]Recap!$F41</f>
        <v>2.5767574443728458E-2</v>
      </c>
      <c r="AD12" s="144">
        <f>[11]Recap!$F40</f>
        <v>1.8843566023951572E-2</v>
      </c>
      <c r="AE12" s="144">
        <f>[12]Recap!$F40</f>
        <v>1.3192823348298112E-2</v>
      </c>
      <c r="AF12" s="144">
        <f>[13]Recap!$F40</f>
        <v>1.5895682596058575E-2</v>
      </c>
      <c r="AG12" s="144">
        <f>[14]Recap!$F38</f>
        <v>1.0216404311971955E-2</v>
      </c>
      <c r="AH12" s="145">
        <f>[15]Recap!$F38</f>
        <v>9.8953355167520057E-3</v>
      </c>
    </row>
    <row r="13" spans="1:34" s="43" customFormat="1" ht="12.75" x14ac:dyDescent="0.2">
      <c r="A13" s="33">
        <v>2026</v>
      </c>
      <c r="B13" s="142">
        <f>[1]Recap!$C19</f>
        <v>306.04054016816588</v>
      </c>
      <c r="C13" s="142">
        <f>[2]Recap!$C19</f>
        <v>310.31070575420375</v>
      </c>
      <c r="D13" s="142">
        <f>[3]Recap!$C19</f>
        <v>405.82634983354632</v>
      </c>
      <c r="E13" s="142">
        <f>[4]Recap!$C19</f>
        <v>457.57287554658245</v>
      </c>
      <c r="F13" s="142">
        <f>[5]Recap!$C19</f>
        <v>876.37461362113959</v>
      </c>
      <c r="G13" s="142">
        <f>[6]Recap!$C19</f>
        <v>471.40426745236743</v>
      </c>
      <c r="H13" s="142">
        <f>[7]Recap!$C19</f>
        <v>680.83915922456083</v>
      </c>
      <c r="I13" s="142">
        <f>[8]Recap!$C18</f>
        <v>247.69067386420994</v>
      </c>
      <c r="J13" s="142">
        <f>[9]Recap!$C18</f>
        <v>129.72441998830476</v>
      </c>
      <c r="K13" s="142">
        <f>[10]Recap!$C18</f>
        <v>306.45017488853767</v>
      </c>
      <c r="L13" s="142">
        <f>[11]Recap!$C17</f>
        <v>911.46335154089229</v>
      </c>
      <c r="M13" s="142">
        <f>[12]Recap!$C17</f>
        <v>622.09174289500413</v>
      </c>
      <c r="N13" s="142">
        <f>[13]Recap!$C17</f>
        <v>992.97647310471189</v>
      </c>
      <c r="O13" s="142">
        <f>[14]Recap!$C15</f>
        <v>479.03787907499185</v>
      </c>
      <c r="P13" s="143">
        <f>[15]Recap!$C15</f>
        <v>113.67255485089302</v>
      </c>
      <c r="Q13" s="142">
        <f t="shared" si="0"/>
        <v>7311.4757818081116</v>
      </c>
      <c r="S13" s="33">
        <v>2026</v>
      </c>
      <c r="T13" s="144">
        <f>[1]Recap!$F43</f>
        <v>4.021106792520425E-2</v>
      </c>
      <c r="U13" s="144">
        <f>[2]Recap!$F43</f>
        <v>2.7052036046563255E-2</v>
      </c>
      <c r="V13" s="144">
        <f>[3]Recap!$F43</f>
        <v>3.5891238011889467E-2</v>
      </c>
      <c r="W13" s="144">
        <f>[4]Recap!$F43</f>
        <v>4.036681114143556E-2</v>
      </c>
      <c r="X13" s="144">
        <f>[5]Recap!$F43</f>
        <v>9.2380560893711341E-2</v>
      </c>
      <c r="Y13" s="144">
        <f>[6]Recap!$F43</f>
        <v>4.2048333591486901E-2</v>
      </c>
      <c r="Z13" s="144">
        <f>[7]Recap!$F43</f>
        <v>6.2400559918874256E-2</v>
      </c>
      <c r="AA13" s="144">
        <f>[8]Recap!$F42</f>
        <v>2.1062839958241795E-2</v>
      </c>
      <c r="AB13" s="144">
        <f>[9]Recap!$F42</f>
        <v>2.4397498953593232E-2</v>
      </c>
      <c r="AC13" s="144">
        <f>[10]Recap!$F42</f>
        <v>2.5588479581410955E-2</v>
      </c>
      <c r="AD13" s="144">
        <f>[11]Recap!$F41</f>
        <v>1.874025255950371E-2</v>
      </c>
      <c r="AE13" s="144">
        <f>[12]Recap!$F41</f>
        <v>1.3116219215720929E-2</v>
      </c>
      <c r="AF13" s="144">
        <f>[13]Recap!$F41</f>
        <v>2.2867667831735248E-2</v>
      </c>
      <c r="AG13" s="144">
        <f>[14]Recap!$F39</f>
        <v>1.0165098615690109E-2</v>
      </c>
      <c r="AH13" s="145">
        <f>[15]Recap!$F39</f>
        <v>9.8440413146778458E-3</v>
      </c>
    </row>
    <row r="14" spans="1:34" s="43" customFormat="1" ht="12.75" x14ac:dyDescent="0.2">
      <c r="A14" s="33">
        <v>2027</v>
      </c>
      <c r="B14" s="142">
        <f>[1]Recap!$C20</f>
        <v>302.74471470358679</v>
      </c>
      <c r="C14" s="142">
        <f>[2]Recap!$C20</f>
        <v>307.71500344754594</v>
      </c>
      <c r="D14" s="142">
        <f>[3]Recap!$C20</f>
        <v>255.32090306490656</v>
      </c>
      <c r="E14" s="142">
        <f>[4]Recap!$C20</f>
        <v>278.85331757483499</v>
      </c>
      <c r="F14" s="142">
        <f>[5]Recap!$C20</f>
        <v>548.94234356141203</v>
      </c>
      <c r="G14" s="142">
        <f>[6]Recap!$C20</f>
        <v>467.32245157688379</v>
      </c>
      <c r="H14" s="142">
        <f>[7]Recap!$C20</f>
        <v>672.36578832112446</v>
      </c>
      <c r="I14" s="142">
        <f>[8]Recap!$C19</f>
        <v>247.25512634792744</v>
      </c>
      <c r="J14" s="142">
        <f>[9]Recap!$C19</f>
        <v>128.94534320428411</v>
      </c>
      <c r="K14" s="142">
        <f>[10]Recap!$C19</f>
        <v>304.3272060374432</v>
      </c>
      <c r="L14" s="142">
        <f>[11]Recap!$C18</f>
        <v>906.51628025786533</v>
      </c>
      <c r="M14" s="142">
        <f>[12]Recap!$C18</f>
        <v>619.27613154584469</v>
      </c>
      <c r="N14" s="142">
        <f>[13]Recap!$C18</f>
        <v>690.7756411497943</v>
      </c>
      <c r="O14" s="142">
        <f>[14]Recap!$C16</f>
        <v>476.55863655443972</v>
      </c>
      <c r="P14" s="146">
        <f>[15]Recap!$C16</f>
        <v>113.03463521453477</v>
      </c>
      <c r="Q14" s="142">
        <f t="shared" si="0"/>
        <v>6319.9535225624277</v>
      </c>
      <c r="S14" s="33">
        <v>2027</v>
      </c>
      <c r="T14" s="144">
        <f>[1]Recap!$F44</f>
        <v>3.9866544906025508E-2</v>
      </c>
      <c r="U14" s="144">
        <f>[2]Recap!$F44</f>
        <v>2.6839865441007364E-2</v>
      </c>
      <c r="V14" s="144">
        <f>[3]Recap!$F44</f>
        <v>2.2271072429719381E-2</v>
      </c>
      <c r="W14" s="144">
        <f>[4]Recap!$F44</f>
        <v>2.4199155815270556E-2</v>
      </c>
      <c r="X14" s="144">
        <f>[5]Recap!$F44</f>
        <v>5.6351357936170035E-2</v>
      </c>
      <c r="Y14" s="144">
        <f>[6]Recap!$F44</f>
        <v>4.1691242760504482E-2</v>
      </c>
      <c r="Z14" s="144">
        <f>[7]Recap!$F44</f>
        <v>6.1821438902046728E-2</v>
      </c>
      <c r="AA14" s="144">
        <f>[8]Recap!$F43</f>
        <v>2.0957141962735668E-2</v>
      </c>
      <c r="AB14" s="144">
        <f>[9]Recap!$F43</f>
        <v>2.4234646065256871E-2</v>
      </c>
      <c r="AC14" s="144">
        <f>[10]Recap!$F43</f>
        <v>2.5410468216118195E-2</v>
      </c>
      <c r="AD14" s="144">
        <f>[11]Recap!$F42</f>
        <v>1.8637517813061527E-2</v>
      </c>
      <c r="AE14" s="144">
        <f>[12]Recap!$F42</f>
        <v>1.3048432031100574E-2</v>
      </c>
      <c r="AF14" s="144">
        <f>[13]Recap!$F42</f>
        <v>1.5795019597029059E-2</v>
      </c>
      <c r="AG14" s="144">
        <f>[14]Recap!$F40</f>
        <v>1.0114003181657297E-2</v>
      </c>
      <c r="AH14" s="147">
        <f>[15]Recap!$F40</f>
        <v>9.7928260453526549E-3</v>
      </c>
    </row>
    <row r="15" spans="1:34" s="150" customFormat="1" x14ac:dyDescent="0.25">
      <c r="A15" s="148" t="s">
        <v>57</v>
      </c>
      <c r="B15" s="149">
        <f>SUM(B5:B14)</f>
        <v>3959.8322287342671</v>
      </c>
      <c r="C15" s="149">
        <f t="shared" ref="C15:P15" si="1">SUM(C5:C14)</f>
        <v>4297.6611032273331</v>
      </c>
      <c r="D15" s="149">
        <f>SUM(D5:D14)</f>
        <v>3119.857489643377</v>
      </c>
      <c r="E15" s="149">
        <f t="shared" si="1"/>
        <v>3274.7840512905104</v>
      </c>
      <c r="F15" s="149">
        <f t="shared" si="1"/>
        <v>6782.7265017747914</v>
      </c>
      <c r="G15" s="149">
        <f t="shared" si="1"/>
        <v>5774.2741100774992</v>
      </c>
      <c r="H15" s="149">
        <f t="shared" si="1"/>
        <v>7637.016655627247</v>
      </c>
      <c r="I15" s="149">
        <f t="shared" si="1"/>
        <v>2581.6586682112575</v>
      </c>
      <c r="J15" s="149">
        <f t="shared" si="1"/>
        <v>2426.9249748864113</v>
      </c>
      <c r="K15" s="149">
        <f t="shared" si="1"/>
        <v>3670.7972894165159</v>
      </c>
      <c r="L15" s="149">
        <f t="shared" si="1"/>
        <v>8180.3601676540638</v>
      </c>
      <c r="M15" s="149">
        <f t="shared" si="1"/>
        <v>6269.994606184222</v>
      </c>
      <c r="N15" s="149">
        <f t="shared" si="1"/>
        <v>6894.129737723355</v>
      </c>
      <c r="O15" s="149">
        <f t="shared" si="1"/>
        <v>3538.8510544903475</v>
      </c>
      <c r="P15" s="149">
        <f t="shared" si="1"/>
        <v>766.54986795279319</v>
      </c>
      <c r="Q15" s="127">
        <f t="shared" si="0"/>
        <v>69175.418506893984</v>
      </c>
      <c r="S15" s="148" t="s">
        <v>58</v>
      </c>
      <c r="T15" s="151">
        <f>AVERAGE(T5:T14)</f>
        <v>5.4318375354816373E-2</v>
      </c>
      <c r="U15" s="151">
        <f t="shared" ref="U15:AH15" si="2">AVERAGE(U5:U14)</f>
        <v>4.0124253106577086E-2</v>
      </c>
      <c r="V15" s="151">
        <f>AVERAGE(V5:V14)</f>
        <v>2.7926725469578324E-2</v>
      </c>
      <c r="W15" s="151">
        <f t="shared" si="2"/>
        <v>2.8965313138282121E-2</v>
      </c>
      <c r="X15" s="151">
        <f t="shared" si="2"/>
        <v>6.9901890774953818E-2</v>
      </c>
      <c r="Y15" s="151">
        <f t="shared" si="2"/>
        <v>5.4622138417132329E-2</v>
      </c>
      <c r="Z15" s="151">
        <f t="shared" si="2"/>
        <v>7.5022878256273268E-2</v>
      </c>
      <c r="AA15" s="151">
        <f t="shared" si="2"/>
        <v>2.5100649296952136E-2</v>
      </c>
      <c r="AB15" s="151">
        <f t="shared" si="2"/>
        <v>3.1156776705771858E-2</v>
      </c>
      <c r="AC15" s="151">
        <f t="shared" si="2"/>
        <v>3.5324592309523714E-2</v>
      </c>
      <c r="AD15" s="151">
        <f t="shared" si="2"/>
        <v>2.1539552955622456E-2</v>
      </c>
      <c r="AE15" s="151">
        <f t="shared" si="2"/>
        <v>1.6735620528034553E-2</v>
      </c>
      <c r="AF15" s="151">
        <f t="shared" si="2"/>
        <v>2.0178200220063461E-2</v>
      </c>
      <c r="AG15" s="151">
        <f t="shared" si="2"/>
        <v>1.2526687685960339E-2</v>
      </c>
      <c r="AH15" s="151">
        <f t="shared" si="2"/>
        <v>1.1078997065788543E-2</v>
      </c>
    </row>
    <row r="16" spans="1:34" ht="7.5" customHeight="1" x14ac:dyDescent="0.3">
      <c r="A16" s="1"/>
      <c r="S16" s="1"/>
      <c r="AB16" s="125"/>
      <c r="AC16" s="125"/>
    </row>
    <row r="17" spans="1:34" ht="15.75" x14ac:dyDescent="0.25">
      <c r="A17" s="55" t="s">
        <v>59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27"/>
      <c r="S17" s="55" t="s">
        <v>59</v>
      </c>
      <c r="T17" s="6"/>
      <c r="U17" s="6"/>
      <c r="V17" s="6"/>
      <c r="W17" s="6"/>
      <c r="X17" s="6"/>
      <c r="Y17" s="6"/>
      <c r="Z17" s="6"/>
      <c r="AB17" s="125"/>
      <c r="AC17" s="125"/>
    </row>
    <row r="18" spans="1:34" s="15" customFormat="1" ht="33.75" x14ac:dyDescent="0.2">
      <c r="A18" s="88" t="s">
        <v>4</v>
      </c>
      <c r="B18" s="12" t="s">
        <v>5</v>
      </c>
      <c r="C18" s="12" t="s">
        <v>6</v>
      </c>
      <c r="D18" s="12" t="s">
        <v>7</v>
      </c>
      <c r="E18" s="12" t="s">
        <v>8</v>
      </c>
      <c r="F18" s="12" t="s">
        <v>9</v>
      </c>
      <c r="G18" s="12" t="s">
        <v>10</v>
      </c>
      <c r="H18" s="12" t="s">
        <v>11</v>
      </c>
      <c r="I18" s="12" t="s">
        <v>12</v>
      </c>
      <c r="J18" s="12" t="s">
        <v>13</v>
      </c>
      <c r="K18" s="12" t="s">
        <v>14</v>
      </c>
      <c r="L18" s="12" t="s">
        <v>15</v>
      </c>
      <c r="M18" s="12" t="s">
        <v>16</v>
      </c>
      <c r="N18" s="12" t="s">
        <v>17</v>
      </c>
      <c r="O18" s="12" t="s">
        <v>18</v>
      </c>
      <c r="P18" s="12" t="s">
        <v>19</v>
      </c>
      <c r="Q18" s="128" t="s">
        <v>56</v>
      </c>
      <c r="S18" s="11" t="s">
        <v>4</v>
      </c>
      <c r="T18" s="12" t="s">
        <v>5</v>
      </c>
      <c r="U18" s="12" t="s">
        <v>6</v>
      </c>
      <c r="V18" s="12" t="s">
        <v>7</v>
      </c>
      <c r="W18" s="12" t="s">
        <v>8</v>
      </c>
      <c r="X18" s="12" t="s">
        <v>9</v>
      </c>
      <c r="Y18" s="12" t="s">
        <v>10</v>
      </c>
      <c r="Z18" s="12" t="s">
        <v>11</v>
      </c>
      <c r="AA18" s="129" t="s">
        <v>12</v>
      </c>
      <c r="AB18" s="12" t="s">
        <v>13</v>
      </c>
      <c r="AC18" s="12" t="s">
        <v>14</v>
      </c>
      <c r="AD18" s="129" t="s">
        <v>15</v>
      </c>
      <c r="AE18" s="129" t="s">
        <v>16</v>
      </c>
      <c r="AF18" s="129" t="s">
        <v>17</v>
      </c>
      <c r="AG18" s="12" t="s">
        <v>18</v>
      </c>
      <c r="AH18" s="12" t="s">
        <v>19</v>
      </c>
    </row>
    <row r="19" spans="1:34" s="68" customFormat="1" ht="12.75" x14ac:dyDescent="0.2">
      <c r="A19" s="16">
        <v>2018</v>
      </c>
      <c r="B19" s="152">
        <f>[1]Recap!$D11</f>
        <v>5.6326408194618862</v>
      </c>
      <c r="C19" s="152">
        <f>[2]Recap!$D11</f>
        <v>1.6747213134869068</v>
      </c>
      <c r="D19" s="152">
        <f>[3]Recap!$D11</f>
        <v>0.21713339725458305</v>
      </c>
      <c r="E19" s="152">
        <f>[4]Recap!$D11</f>
        <v>6.5772109419627092E-2</v>
      </c>
      <c r="F19" s="152">
        <f>[5]Recap!$D11</f>
        <v>14.510032535976114</v>
      </c>
      <c r="G19" s="152">
        <f>[6]Recap!$D11</f>
        <v>0.29159888076333462</v>
      </c>
      <c r="H19" s="152">
        <f>[7]Recap!$D11</f>
        <v>4.7353371617019926</v>
      </c>
      <c r="I19" s="152"/>
      <c r="J19" s="152"/>
      <c r="K19" s="152"/>
      <c r="L19" s="152"/>
      <c r="M19" s="152"/>
      <c r="N19" s="152"/>
      <c r="O19" s="152"/>
      <c r="P19" s="153"/>
      <c r="Q19" s="127">
        <f t="shared" ref="Q19:Q29" si="3">SUM(B19:P19)</f>
        <v>27.127236218064443</v>
      </c>
      <c r="S19" s="16">
        <v>2018</v>
      </c>
      <c r="T19" s="154">
        <f>[1]Recap!$G35</f>
        <v>1.2194431717577506E-3</v>
      </c>
      <c r="U19" s="154">
        <f>[2]Recap!$G35</f>
        <v>2.9037155300816318E-4</v>
      </c>
      <c r="V19" s="154">
        <f>[3]Recap!$G35</f>
        <v>4.9278672711253576E-5</v>
      </c>
      <c r="W19" s="154">
        <f>[4]Recap!$G35</f>
        <v>1.4124309609182243E-5</v>
      </c>
      <c r="X19" s="154">
        <f>[5]Recap!$G35</f>
        <v>5.6741248073261946E-3</v>
      </c>
      <c r="Y19" s="154">
        <f>[6]Recap!$G35</f>
        <v>2.0719346269517224E-4</v>
      </c>
      <c r="Z19" s="154">
        <f>[7]Recap!$G35</f>
        <v>3.3864388474925816E-3</v>
      </c>
      <c r="AA19" s="154"/>
      <c r="AB19" s="154"/>
      <c r="AC19" s="154"/>
      <c r="AD19" s="154"/>
      <c r="AE19" s="154"/>
      <c r="AF19" s="154"/>
      <c r="AG19" s="154"/>
      <c r="AH19" s="155"/>
    </row>
    <row r="20" spans="1:34" s="68" customFormat="1" ht="12.75" x14ac:dyDescent="0.2">
      <c r="A20" s="16">
        <v>2019</v>
      </c>
      <c r="B20" s="152">
        <f>[1]Recap!$D12</f>
        <v>12.090446238296549</v>
      </c>
      <c r="C20" s="152">
        <f>[2]Recap!$D12</f>
        <v>6.4202606135542934</v>
      </c>
      <c r="D20" s="152">
        <f>[3]Recap!$D12</f>
        <v>1.0249109382217445</v>
      </c>
      <c r="E20" s="152">
        <f>[4]Recap!$D12</f>
        <v>0.25578101805789927</v>
      </c>
      <c r="F20" s="152">
        <f>[5]Recap!$D12</f>
        <v>53.007798701651765</v>
      </c>
      <c r="G20" s="152">
        <f>[6]Recap!$D12</f>
        <v>1.617449027860302</v>
      </c>
      <c r="H20" s="152">
        <f>[7]Recap!$D12</f>
        <v>20.962438019564079</v>
      </c>
      <c r="I20" s="152">
        <f>[8]Recap!$D11</f>
        <v>3.2119337313975511</v>
      </c>
      <c r="J20" s="152">
        <f>[9]Recap!$D11</f>
        <v>0.60385858000374271</v>
      </c>
      <c r="K20" s="152">
        <f>[10]Recap!$D11</f>
        <v>3.4087965084989458E-2</v>
      </c>
      <c r="L20" s="152"/>
      <c r="M20" s="152"/>
      <c r="N20" s="152"/>
      <c r="O20" s="152"/>
      <c r="P20" s="156"/>
      <c r="Q20" s="127">
        <f t="shared" si="3"/>
        <v>99.228964833692913</v>
      </c>
      <c r="S20" s="16">
        <v>2019</v>
      </c>
      <c r="T20" s="154">
        <f>[1]Recap!$G36</f>
        <v>1.5022125683998605E-3</v>
      </c>
      <c r="U20" s="154">
        <f>[2]Recap!$G36</f>
        <v>5.4181857619343932E-4</v>
      </c>
      <c r="V20" s="154">
        <f>[3]Recap!$G36</f>
        <v>8.5633961257515763E-5</v>
      </c>
      <c r="W20" s="154">
        <f>[4]Recap!$G36</f>
        <v>2.1072123509646572E-5</v>
      </c>
      <c r="X20" s="154">
        <f>[5]Recap!$G36</f>
        <v>4.7780923933976498E-3</v>
      </c>
      <c r="Y20" s="154">
        <f>[6]Recap!$G36</f>
        <v>1.3988011857535033E-4</v>
      </c>
      <c r="Z20" s="154">
        <f>[7]Recap!$G36</f>
        <v>1.8037632055679191E-3</v>
      </c>
      <c r="AA20" s="154">
        <f>[8]Recap!$G35</f>
        <v>3.1453563875371454E-4</v>
      </c>
      <c r="AB20" s="154">
        <f>[9]Recap!$G35</f>
        <v>5.7762563325848303E-5</v>
      </c>
      <c r="AC20" s="154">
        <f>[10]Recap!$G35</f>
        <v>3.2233820691782102E-6</v>
      </c>
      <c r="AD20" s="154"/>
      <c r="AE20" s="154"/>
      <c r="AF20" s="154"/>
      <c r="AG20" s="154"/>
      <c r="AH20" s="157"/>
    </row>
    <row r="21" spans="1:34" s="68" customFormat="1" ht="12.75" x14ac:dyDescent="0.2">
      <c r="A21" s="16">
        <v>2020</v>
      </c>
      <c r="B21" s="152">
        <f>[1]Recap!$D13</f>
        <v>21.143298543434643</v>
      </c>
      <c r="C21" s="152">
        <f>[2]Recap!$D13</f>
        <v>9.6003169398723021</v>
      </c>
      <c r="D21" s="152">
        <f>[3]Recap!$D13</f>
        <v>1.6939645180345639</v>
      </c>
      <c r="E21" s="152">
        <f>[4]Recap!$D13</f>
        <v>0.45840007211875244</v>
      </c>
      <c r="F21" s="152">
        <f>[5]Recap!$D13</f>
        <v>16.873442787422082</v>
      </c>
      <c r="G21" s="152">
        <f>[6]Recap!$D13</f>
        <v>2.7814559108141137</v>
      </c>
      <c r="H21" s="152">
        <f>[7]Recap!$D13</f>
        <v>42.716885176540714</v>
      </c>
      <c r="I21" s="152">
        <f>[8]Recap!$D12</f>
        <v>13.216261839278481</v>
      </c>
      <c r="J21" s="152">
        <f>[9]Recap!$D12</f>
        <v>2.2236812290549581</v>
      </c>
      <c r="K21" s="152">
        <f>[10]Recap!$D12</f>
        <v>9.5251793757527042E-2</v>
      </c>
      <c r="L21" s="152">
        <f>[11]Recap!$D11</f>
        <v>0.15389190729034352</v>
      </c>
      <c r="M21" s="152">
        <f>[12]Recap!$D11</f>
        <v>1.0861861353598061</v>
      </c>
      <c r="N21" s="152">
        <f>[13]Recap!$D11</f>
        <v>5.7103632068970088E-2</v>
      </c>
      <c r="O21" s="152"/>
      <c r="P21" s="156"/>
      <c r="Q21" s="127">
        <f t="shared" si="3"/>
        <v>112.10014048504728</v>
      </c>
      <c r="S21" s="16">
        <v>2020</v>
      </c>
      <c r="T21" s="154">
        <f>[1]Recap!$G37</f>
        <v>2.6665912239027963E-3</v>
      </c>
      <c r="U21" s="154">
        <f>[2]Recap!$G37</f>
        <v>8.2999836663269315E-4</v>
      </c>
      <c r="V21" s="154">
        <f>[3]Recap!$G37</f>
        <v>1.4375491578859137E-4</v>
      </c>
      <c r="W21" s="154">
        <f>[4]Recap!$G37</f>
        <v>3.8484404403528296E-5</v>
      </c>
      <c r="X21" s="154">
        <f>[5]Recap!$G37</f>
        <v>1.5426454339860583E-3</v>
      </c>
      <c r="Y21" s="154">
        <f>[6]Recap!$G37</f>
        <v>2.4097873419266335E-4</v>
      </c>
      <c r="Z21" s="154">
        <f>[7]Recap!$G37</f>
        <v>3.7777841407905031E-3</v>
      </c>
      <c r="AA21" s="154">
        <f>[8]Recap!$G36</f>
        <v>1.1202264653585653E-3</v>
      </c>
      <c r="AB21" s="154">
        <f>[9]Recap!$G36</f>
        <v>1.859496458260074E-4</v>
      </c>
      <c r="AC21" s="154">
        <f>[10]Recap!$G36</f>
        <v>7.8509157431903034E-6</v>
      </c>
      <c r="AD21" s="154">
        <f>[11]Recap!$G35</f>
        <v>3.2441714541030566E-6</v>
      </c>
      <c r="AE21" s="154">
        <f>[12]Recap!$G35</f>
        <v>2.3083285137382363E-5</v>
      </c>
      <c r="AF21" s="154">
        <f>[13]Recap!$G35</f>
        <v>2.2039383238643967E-6</v>
      </c>
      <c r="AG21" s="154"/>
      <c r="AH21" s="157"/>
    </row>
    <row r="22" spans="1:34" s="68" customFormat="1" ht="12.75" x14ac:dyDescent="0.2">
      <c r="A22" s="16">
        <v>2021</v>
      </c>
      <c r="B22" s="152">
        <f>[1]Recap!$D14</f>
        <v>25.362680897145037</v>
      </c>
      <c r="C22" s="152">
        <f>[2]Recap!$D14</f>
        <v>13.835903972977185</v>
      </c>
      <c r="D22" s="152">
        <f>[3]Recap!$D14</f>
        <v>2.2191368537490663</v>
      </c>
      <c r="E22" s="152">
        <f>[4]Recap!$D14</f>
        <v>0.65631323847225664</v>
      </c>
      <c r="F22" s="152">
        <f>[5]Recap!$D14</f>
        <v>49.682596384895881</v>
      </c>
      <c r="G22" s="152">
        <f>[6]Recap!$D14</f>
        <v>4.2146380529732044</v>
      </c>
      <c r="H22" s="152">
        <f>[7]Recap!$D14</f>
        <v>70.870907418280993</v>
      </c>
      <c r="I22" s="152">
        <f>[8]Recap!$D13</f>
        <v>21.123916244870063</v>
      </c>
      <c r="J22" s="152">
        <f>[9]Recap!$D13</f>
        <v>4.0582267976677597</v>
      </c>
      <c r="K22" s="152">
        <f>[10]Recap!$D13</f>
        <v>0.23705846887630638</v>
      </c>
      <c r="L22" s="152">
        <f>[11]Recap!$D12</f>
        <v>0.34106164481600015</v>
      </c>
      <c r="M22" s="152">
        <f>[12]Recap!$D12</f>
        <v>3.5022140354915745</v>
      </c>
      <c r="N22" s="152">
        <f>[13]Recap!$D12</f>
        <v>0.17284296914645852</v>
      </c>
      <c r="O22" s="152"/>
      <c r="P22" s="156"/>
      <c r="Q22" s="127">
        <f t="shared" si="3"/>
        <v>196.27749697936179</v>
      </c>
      <c r="S22" s="16">
        <v>2021</v>
      </c>
      <c r="T22" s="154">
        <f>[1]Recap!$G38</f>
        <v>3.3108722293765328E-3</v>
      </c>
      <c r="U22" s="154">
        <f>[2]Recap!$G38</f>
        <v>1.1918587898579105E-3</v>
      </c>
      <c r="V22" s="154">
        <f>[3]Recap!$G38</f>
        <v>1.9327389647250901E-4</v>
      </c>
      <c r="W22" s="154">
        <f>[4]Recap!$G38</f>
        <v>5.6181638145550227E-5</v>
      </c>
      <c r="X22" s="154">
        <f>[5]Recap!$G38</f>
        <v>4.6435403792517167E-3</v>
      </c>
      <c r="Y22" s="154">
        <f>[6]Recap!$G38</f>
        <v>3.7640090516053489E-4</v>
      </c>
      <c r="Z22" s="154">
        <f>[7]Recap!$G38</f>
        <v>6.4286789525572511E-3</v>
      </c>
      <c r="AA22" s="154">
        <f>[8]Recap!$G37</f>
        <v>1.8474161716085652E-3</v>
      </c>
      <c r="AB22" s="154">
        <f>[9]Recap!$G37</f>
        <v>3.4619307806434271E-4</v>
      </c>
      <c r="AC22" s="154">
        <f>[10]Recap!$G37</f>
        <v>1.9920389519697197E-5</v>
      </c>
      <c r="AD22" s="154">
        <f>[11]Recap!$G36</f>
        <v>7.5645239029497592E-6</v>
      </c>
      <c r="AE22" s="154">
        <f>[12]Recap!$G36</f>
        <v>7.4168890911800007E-5</v>
      </c>
      <c r="AF22" s="154">
        <f>[13]Recap!$G36</f>
        <v>3.9923631305330141E-6</v>
      </c>
      <c r="AG22" s="154"/>
      <c r="AH22" s="157"/>
    </row>
    <row r="23" spans="1:34" s="80" customFormat="1" ht="12.75" x14ac:dyDescent="0.2">
      <c r="A23" s="158">
        <v>2022</v>
      </c>
      <c r="B23" s="159">
        <f>[1]Recap!$D15</f>
        <v>34.696300770530115</v>
      </c>
      <c r="C23" s="159">
        <f>[2]Recap!$D15</f>
        <v>20.218995020307105</v>
      </c>
      <c r="D23" s="159">
        <f>[3]Recap!$D15</f>
        <v>3.1671333457043644</v>
      </c>
      <c r="E23" s="159">
        <f>[4]Recap!$D15</f>
        <v>1.0086186289503065</v>
      </c>
      <c r="F23" s="159">
        <f>[5]Recap!$D15</f>
        <v>18.863807461834444</v>
      </c>
      <c r="G23" s="159">
        <f>[6]Recap!$D15</f>
        <v>5.7501134260136242</v>
      </c>
      <c r="H23" s="159">
        <f>[7]Recap!$D15</f>
        <v>110.83408688654788</v>
      </c>
      <c r="I23" s="159">
        <f>[8]Recap!$D14</f>
        <v>38.290188669361342</v>
      </c>
      <c r="J23" s="159">
        <f>[9]Recap!$D14</f>
        <v>7.0965647444791342</v>
      </c>
      <c r="K23" s="159">
        <f>[10]Recap!$D14</f>
        <v>0.36553857003624107</v>
      </c>
      <c r="L23" s="159">
        <f>[11]Recap!$D13</f>
        <v>0.7023008032562752</v>
      </c>
      <c r="M23" s="159">
        <f>[12]Recap!$D13</f>
        <v>5.9913368073640108</v>
      </c>
      <c r="N23" s="159">
        <f>[13]Recap!$D13</f>
        <v>0.43633800334566664</v>
      </c>
      <c r="O23" s="159">
        <f>[14]Recap!$D11</f>
        <v>1.9670278367604659</v>
      </c>
      <c r="P23" s="160">
        <f>[15]Recap!$D11</f>
        <v>1.4252258981740151</v>
      </c>
      <c r="Q23" s="161">
        <f t="shared" si="3"/>
        <v>250.81357687266498</v>
      </c>
      <c r="S23" s="158">
        <v>2022</v>
      </c>
      <c r="T23" s="162">
        <f>[1]Recap!$G39</f>
        <v>4.3637206482691517E-3</v>
      </c>
      <c r="U23" s="162">
        <f>[2]Recap!$G39</f>
        <v>1.7028019052896266E-3</v>
      </c>
      <c r="V23" s="162">
        <f>[3]Recap!$G39</f>
        <v>2.6741741248463818E-4</v>
      </c>
      <c r="W23" s="162">
        <f>[4]Recap!$G39</f>
        <v>8.4619993581648337E-5</v>
      </c>
      <c r="X23" s="162">
        <f>[5]Recap!$G39</f>
        <v>1.7508403757723176E-3</v>
      </c>
      <c r="Y23" s="162">
        <f>[6]Recap!$G39</f>
        <v>4.8886297070358637E-4</v>
      </c>
      <c r="Z23" s="162">
        <f>[7]Recap!$G39</f>
        <v>9.6013416817634055E-3</v>
      </c>
      <c r="AA23" s="162">
        <f>[8]Recap!$G38</f>
        <v>3.1600389036704536E-3</v>
      </c>
      <c r="AB23" s="162">
        <f>[9]Recap!$G38</f>
        <v>5.7934176781997777E-4</v>
      </c>
      <c r="AC23" s="162">
        <f>[10]Recap!$G38</f>
        <v>2.9469959024322126E-5</v>
      </c>
      <c r="AD23" s="162">
        <f>[11]Recap!$G37</f>
        <v>1.4061788759785723E-5</v>
      </c>
      <c r="AE23" s="162">
        <f>[12]Recap!$G37</f>
        <v>1.2343979656983357E-4</v>
      </c>
      <c r="AF23" s="162">
        <f>[13]Recap!$G37</f>
        <v>9.7389982502581092E-6</v>
      </c>
      <c r="AG23" s="162">
        <f>[14]Recap!$G35</f>
        <v>4.0972298304039836E-5</v>
      </c>
      <c r="AH23" s="163">
        <f>[15]Recap!$G35</f>
        <v>1.224006221423847E-4</v>
      </c>
    </row>
    <row r="24" spans="1:34" s="80" customFormat="1" ht="12.75" x14ac:dyDescent="0.2">
      <c r="A24" s="33">
        <v>2023</v>
      </c>
      <c r="B24" s="142">
        <f>[1]Recap!$D16</f>
        <v>39.367136938520964</v>
      </c>
      <c r="C24" s="142">
        <f>[2]Recap!$D16</f>
        <v>25.837520763331636</v>
      </c>
      <c r="D24" s="142">
        <f>[3]Recap!$D16</f>
        <v>3.9246869540588731</v>
      </c>
      <c r="E24" s="142">
        <f>[4]Recap!$D16</f>
        <v>1.2896956383190061</v>
      </c>
      <c r="F24" s="142">
        <f>[5]Recap!$D16</f>
        <v>47.63057141623127</v>
      </c>
      <c r="G24" s="142">
        <f>[6]Recap!$D16</f>
        <v>7.6450184060102231</v>
      </c>
      <c r="H24" s="142">
        <f>[7]Recap!$D16</f>
        <v>156.5333157990847</v>
      </c>
      <c r="I24" s="142">
        <f>[8]Recap!$D15</f>
        <v>52.638737565104414</v>
      </c>
      <c r="J24" s="142">
        <f>[9]Recap!$D15</f>
        <v>6.0233851580305577</v>
      </c>
      <c r="K24" s="142">
        <f>[10]Recap!$D15</f>
        <v>0.4682116749139808</v>
      </c>
      <c r="L24" s="142">
        <f>[11]Recap!$D14</f>
        <v>1.0017068465294989</v>
      </c>
      <c r="M24" s="142">
        <f>[12]Recap!$D14</f>
        <v>8.5936568623511427</v>
      </c>
      <c r="N24" s="142">
        <f>[13]Recap!$D14</f>
        <v>0.78066977494861212</v>
      </c>
      <c r="O24" s="142">
        <f>[14]Recap!$D12</f>
        <v>5.1830957052211239</v>
      </c>
      <c r="P24" s="143">
        <f>[15]Recap!$D12</f>
        <v>3.6694229552775139</v>
      </c>
      <c r="Q24" s="142">
        <f t="shared" si="3"/>
        <v>360.58683245793355</v>
      </c>
      <c r="S24" s="33">
        <v>2023</v>
      </c>
      <c r="T24" s="144">
        <f>[1]Recap!$G40</f>
        <v>4.988020010828753E-3</v>
      </c>
      <c r="U24" s="144">
        <f>[2]Recap!$G40</f>
        <v>2.1947009423604344E-3</v>
      </c>
      <c r="V24" s="144">
        <f>[3]Recap!$G40</f>
        <v>3.3444202735636946E-4</v>
      </c>
      <c r="W24" s="144">
        <f>[4]Recap!$G40</f>
        <v>1.0909554379039712E-4</v>
      </c>
      <c r="X24" s="144">
        <f>[5]Recap!$G40</f>
        <v>4.4618411955233877E-3</v>
      </c>
      <c r="Y24" s="144">
        <f>[6]Recap!$G40</f>
        <v>6.5310952202345238E-4</v>
      </c>
      <c r="Z24" s="144">
        <f>[7]Recap!$G40</f>
        <v>1.3723479727137253E-2</v>
      </c>
      <c r="AA24" s="144">
        <f>[8]Recap!$G39</f>
        <v>4.3877637458451905E-3</v>
      </c>
      <c r="AB24" s="144">
        <f>[9]Recap!$G39</f>
        <v>1.1055193440237569E-3</v>
      </c>
      <c r="AC24" s="144">
        <f>[10]Recap!$G39</f>
        <v>3.807048712682366E-5</v>
      </c>
      <c r="AD24" s="144">
        <f>[11]Recap!$G38</f>
        <v>2.0202033801282351E-5</v>
      </c>
      <c r="AE24" s="144">
        <f>[12]Recap!$G38</f>
        <v>1.786573516430374E-4</v>
      </c>
      <c r="AF24" s="144">
        <f>[13]Recap!$G38</f>
        <v>1.7566121331687045E-5</v>
      </c>
      <c r="AG24" s="144">
        <f>[14]Recap!$G36</f>
        <v>1.0880850785405503E-4</v>
      </c>
      <c r="AH24" s="145">
        <f>[15]Recap!$G36</f>
        <v>3.1426087190401558E-4</v>
      </c>
    </row>
    <row r="25" spans="1:34" s="80" customFormat="1" ht="12.75" x14ac:dyDescent="0.2">
      <c r="A25" s="33">
        <v>2024</v>
      </c>
      <c r="B25" s="142">
        <f>[1]Recap!$D17</f>
        <v>48.801742812580763</v>
      </c>
      <c r="C25" s="142">
        <f>[2]Recap!$D17</f>
        <v>32.999485810719236</v>
      </c>
      <c r="D25" s="142">
        <f>[3]Recap!$D17</f>
        <v>4.6824679536175378</v>
      </c>
      <c r="E25" s="142">
        <f>[4]Recap!$D17</f>
        <v>1.7228126081934876</v>
      </c>
      <c r="F25" s="142">
        <f>[5]Recap!$D17</f>
        <v>84.269543998491315</v>
      </c>
      <c r="G25" s="142">
        <f>[6]Recap!$D17</f>
        <v>9.6611171668562559</v>
      </c>
      <c r="H25" s="142">
        <f>[7]Recap!$D17</f>
        <v>204.34874194320091</v>
      </c>
      <c r="I25" s="142">
        <f>[8]Recap!$D16</f>
        <v>70.000257042600069</v>
      </c>
      <c r="J25" s="142">
        <f>[9]Recap!$D16</f>
        <v>7.9690650567891748</v>
      </c>
      <c r="K25" s="142">
        <f>[10]Recap!$D16</f>
        <v>0.64887939096305236</v>
      </c>
      <c r="L25" s="142">
        <f>[11]Recap!$D15</f>
        <v>1.4193690800191918</v>
      </c>
      <c r="M25" s="142">
        <f>[12]Recap!$D15</f>
        <v>12.719664087569205</v>
      </c>
      <c r="N25" s="142">
        <f>[13]Recap!$D15</f>
        <v>1.611031820990644</v>
      </c>
      <c r="O25" s="142">
        <f>[14]Recap!$D13</f>
        <v>8.7041516938919852</v>
      </c>
      <c r="P25" s="143">
        <f>[15]Recap!$D13</f>
        <v>6.0973626868877728</v>
      </c>
      <c r="Q25" s="142">
        <f t="shared" si="3"/>
        <v>495.65569315337058</v>
      </c>
      <c r="S25" s="33">
        <v>2024</v>
      </c>
      <c r="T25" s="144">
        <f>[1]Recap!$G41</f>
        <v>6.18923889969057E-3</v>
      </c>
      <c r="U25" s="144">
        <f>[2]Recap!$G41</f>
        <v>2.8013290345039249E-3</v>
      </c>
      <c r="V25" s="144">
        <f>[3]Recap!$G41</f>
        <v>3.9848769563406185E-4</v>
      </c>
      <c r="W25" s="144">
        <f>[4]Recap!$G41</f>
        <v>1.4553622863995577E-4</v>
      </c>
      <c r="X25" s="144">
        <f>[5]Recap!$G41</f>
        <v>7.9327100544936569E-3</v>
      </c>
      <c r="Y25" s="144">
        <f>[6]Recap!$G41</f>
        <v>8.2459539984178166E-4</v>
      </c>
      <c r="Z25" s="144">
        <f>[7]Recap!$G41</f>
        <v>1.8038338172963873E-2</v>
      </c>
      <c r="AA25" s="144">
        <f>[8]Recap!$G40</f>
        <v>5.8413702231781255E-3</v>
      </c>
      <c r="AB25" s="144">
        <f>[9]Recap!$G40</f>
        <v>1.4618599481381826E-3</v>
      </c>
      <c r="AC25" s="144">
        <f>[10]Recap!$G40</f>
        <v>5.2681639346858881E-5</v>
      </c>
      <c r="AD25" s="144">
        <f>[11]Recap!$G39</f>
        <v>2.8585441134867369E-5</v>
      </c>
      <c r="AE25" s="144">
        <f>[12]Recap!$G39</f>
        <v>2.6409243105431199E-4</v>
      </c>
      <c r="AF25" s="144">
        <f>[13]Recap!$G39</f>
        <v>3.6198775620900834E-5</v>
      </c>
      <c r="AG25" s="144">
        <f>[14]Recap!$G37</f>
        <v>1.8250589579025668E-4</v>
      </c>
      <c r="AH25" s="145">
        <f>[15]Recap!$G37</f>
        <v>5.2180823646235752E-4</v>
      </c>
    </row>
    <row r="26" spans="1:34" s="80" customFormat="1" ht="12.75" x14ac:dyDescent="0.2">
      <c r="A26" s="33">
        <v>2025</v>
      </c>
      <c r="B26" s="142">
        <f>[1]Recap!$D18</f>
        <v>27.596555334460671</v>
      </c>
      <c r="C26" s="142">
        <f>[2]Recap!$D18</f>
        <v>6.4372352160026365</v>
      </c>
      <c r="D26" s="142">
        <f>[3]Recap!$D18</f>
        <v>1.0059604954952031</v>
      </c>
      <c r="E26" s="142">
        <f>[4]Recap!$D18</f>
        <v>0.43395700085266214</v>
      </c>
      <c r="F26" s="142">
        <f>[5]Recap!$D18</f>
        <v>133.45916819990259</v>
      </c>
      <c r="G26" s="142">
        <f>[6]Recap!$D18</f>
        <v>3.5589293216464375</v>
      </c>
      <c r="H26" s="142">
        <f>[7]Recap!$D18</f>
        <v>86.796744593305903</v>
      </c>
      <c r="I26" s="142">
        <f>[8]Recap!$D17</f>
        <v>90.699107969759751</v>
      </c>
      <c r="J26" s="142">
        <f>[9]Recap!$D17</f>
        <v>9.9805823795454369</v>
      </c>
      <c r="K26" s="142">
        <f>[10]Recap!$D17</f>
        <v>0.82269474741760173</v>
      </c>
      <c r="L26" s="142">
        <f>[11]Recap!$D16</f>
        <v>1.8691175792034918</v>
      </c>
      <c r="M26" s="142">
        <f>[12]Recap!$D16</f>
        <v>17.41713302729837</v>
      </c>
      <c r="N26" s="142">
        <f>[13]Recap!$D16</f>
        <v>2.7146452802060712</v>
      </c>
      <c r="O26" s="142">
        <f>[14]Recap!$D14</f>
        <v>12.255709894967939</v>
      </c>
      <c r="P26" s="143">
        <f>[15]Recap!$D14</f>
        <v>8.4150902076946306</v>
      </c>
      <c r="Q26" s="142">
        <f t="shared" si="3"/>
        <v>403.4626312477593</v>
      </c>
      <c r="S26" s="33">
        <v>2025</v>
      </c>
      <c r="T26" s="144">
        <f>[1]Recap!$G42</f>
        <v>3.48729419641598E-3</v>
      </c>
      <c r="U26" s="144">
        <f>[2]Recap!$G42</f>
        <v>5.4552474671603658E-4</v>
      </c>
      <c r="V26" s="144">
        <f>[3]Recap!$G42</f>
        <v>8.5692202044870586E-5</v>
      </c>
      <c r="W26" s="144">
        <f>[4]Recap!$G42</f>
        <v>3.6704540679523356E-5</v>
      </c>
      <c r="X26" s="144">
        <f>[5]Recap!$G42</f>
        <v>1.2670388925672887E-2</v>
      </c>
      <c r="Y26" s="144">
        <f>[6]Recap!$G42</f>
        <v>3.0387631234235485E-4</v>
      </c>
      <c r="Z26" s="144">
        <f>[7]Recap!$G42</f>
        <v>7.534802931516398E-3</v>
      </c>
      <c r="AA26" s="144">
        <f>[8]Recap!$G41</f>
        <v>7.602697736828026E-3</v>
      </c>
      <c r="AB26" s="144">
        <f>[9]Recap!$G41</f>
        <v>1.8346595089613537E-3</v>
      </c>
      <c r="AC26" s="144">
        <f>[10]Recap!$G41</f>
        <v>6.6897557385696565E-5</v>
      </c>
      <c r="AD26" s="144">
        <f>[11]Recap!$G40</f>
        <v>3.769667282184432E-5</v>
      </c>
      <c r="AE26" s="144">
        <f>[12]Recap!$G40</f>
        <v>3.6217538591286537E-4</v>
      </c>
      <c r="AF26" s="144">
        <f>[13]Recap!$G40</f>
        <v>6.1087383349024311E-5</v>
      </c>
      <c r="AG26" s="144">
        <f>[14]Recap!$G38</f>
        <v>2.573469870282877E-4</v>
      </c>
      <c r="AH26" s="145">
        <f>[15]Recap!$G38</f>
        <v>7.2119765496776972E-4</v>
      </c>
    </row>
    <row r="27" spans="1:34" s="80" customFormat="1" ht="12.75" x14ac:dyDescent="0.2">
      <c r="A27" s="33">
        <v>2026</v>
      </c>
      <c r="B27" s="142">
        <f>[1]Recap!$D19</f>
        <v>13.93215398869984</v>
      </c>
      <c r="C27" s="142">
        <f>[2]Recap!$D19</f>
        <v>6.3676122874584884</v>
      </c>
      <c r="D27" s="142">
        <f>[3]Recap!$D19</f>
        <v>0.92419477163766772</v>
      </c>
      <c r="E27" s="142">
        <f>[4]Recap!$D19</f>
        <v>0.23097491174699539</v>
      </c>
      <c r="F27" s="142">
        <f>[5]Recap!$D19</f>
        <v>178.49677634753149</v>
      </c>
      <c r="G27" s="142">
        <f>[6]Recap!$D19</f>
        <v>1.5525019299485625</v>
      </c>
      <c r="H27" s="142">
        <f>[7]Recap!$D19</f>
        <v>21.309460079939232</v>
      </c>
      <c r="I27" s="142">
        <f>[8]Recap!$D18</f>
        <v>35.398077459598447</v>
      </c>
      <c r="J27" s="142">
        <f>[9]Recap!$D18</f>
        <v>2.5300141875592224</v>
      </c>
      <c r="K27" s="142">
        <f>[10]Recap!$D18</f>
        <v>0.27372910538385098</v>
      </c>
      <c r="L27" s="142">
        <f>[11]Recap!$D17</f>
        <v>2.4081715232615886</v>
      </c>
      <c r="M27" s="142">
        <f>[12]Recap!$D17</f>
        <v>23.356711699748452</v>
      </c>
      <c r="N27" s="142">
        <f>[13]Recap!$D17</f>
        <v>5.0769096150106101</v>
      </c>
      <c r="O27" s="142">
        <f>[14]Recap!$D15</f>
        <v>16.258100513360468</v>
      </c>
      <c r="P27" s="143">
        <f>[15]Recap!$D15</f>
        <v>11.041678856528723</v>
      </c>
      <c r="Q27" s="142">
        <f t="shared" si="3"/>
        <v>319.15706727741372</v>
      </c>
      <c r="S27" s="33">
        <v>2026</v>
      </c>
      <c r="T27" s="144">
        <f>[1]Recap!$G43</f>
        <v>1.7552059937651712E-3</v>
      </c>
      <c r="U27" s="144">
        <f>[2]Recap!$G43</f>
        <v>5.3953805634694187E-4</v>
      </c>
      <c r="V27" s="144">
        <f>[3]Recap!$G43</f>
        <v>7.8725292946907647E-5</v>
      </c>
      <c r="W27" s="144">
        <f>[4]Recap!$G43</f>
        <v>1.953540484237676E-5</v>
      </c>
      <c r="X27" s="144">
        <f>[5]Recap!$G43</f>
        <v>1.7088566352437457E-2</v>
      </c>
      <c r="Y27" s="144">
        <f>[6]Recap!$G43</f>
        <v>1.3252045511180321E-4</v>
      </c>
      <c r="Z27" s="144">
        <f>[7]Recap!$G43</f>
        <v>1.8308750076622413E-3</v>
      </c>
      <c r="AA27" s="144">
        <f>[8]Recap!$G42</f>
        <v>2.9447871520318037E-3</v>
      </c>
      <c r="AB27" s="144">
        <f>[9]Recap!$G42</f>
        <v>4.6389790921992326E-4</v>
      </c>
      <c r="AC27" s="144">
        <f>[10]Recap!$G42</f>
        <v>2.2256447459825115E-5</v>
      </c>
      <c r="AD27" s="144">
        <f>[11]Recap!$G41</f>
        <v>4.8569240018212732E-5</v>
      </c>
      <c r="AE27" s="144">
        <f>[12]Recap!$G41</f>
        <v>4.8583488559280692E-4</v>
      </c>
      <c r="AF27" s="144">
        <f>[13]Recap!$G41</f>
        <v>1.1425521646595968E-4</v>
      </c>
      <c r="AG27" s="144">
        <f>[14]Recap!$G39</f>
        <v>3.4143776893301675E-4</v>
      </c>
      <c r="AH27" s="145">
        <f>[15]Recap!$G39</f>
        <v>9.4667344385943888E-4</v>
      </c>
    </row>
    <row r="28" spans="1:34" s="80" customFormat="1" ht="12.75" x14ac:dyDescent="0.2">
      <c r="A28" s="33">
        <v>2027</v>
      </c>
      <c r="B28" s="142">
        <f>[1]Recap!$D20</f>
        <v>23.512249043944465</v>
      </c>
      <c r="C28" s="142">
        <f>[2]Recap!$D20</f>
        <v>10.52467779728709</v>
      </c>
      <c r="D28" s="142">
        <f>[3]Recap!$D20</f>
        <v>1.6027240381398509</v>
      </c>
      <c r="E28" s="142">
        <f>[4]Recap!$D20</f>
        <v>0.42973567747980912</v>
      </c>
      <c r="F28" s="142">
        <f>[5]Recap!$D20</f>
        <v>242.07362039234965</v>
      </c>
      <c r="G28" s="142">
        <f>[6]Recap!$D20</f>
        <v>2.7636469527172043</v>
      </c>
      <c r="H28" s="142">
        <f>[7]Recap!$D20</f>
        <v>42.200234656626883</v>
      </c>
      <c r="I28" s="142">
        <f>[8]Recap!$D19</f>
        <v>13.779385025839598</v>
      </c>
      <c r="J28" s="142">
        <f>[9]Recap!$D19</f>
        <v>1.4402208374515268</v>
      </c>
      <c r="K28" s="142">
        <f>[10]Recap!$D19</f>
        <v>0.1090568363154861</v>
      </c>
      <c r="L28" s="142">
        <f>[11]Recap!$D18</f>
        <v>0.61362483401797729</v>
      </c>
      <c r="M28" s="142">
        <f>[12]Recap!$D18</f>
        <v>8.7932132257640507</v>
      </c>
      <c r="N28" s="142">
        <f>[13]Recap!$D18</f>
        <v>1.7892362105609325</v>
      </c>
      <c r="O28" s="142">
        <f>[14]Recap!$D16</f>
        <v>20.497132578349117</v>
      </c>
      <c r="P28" s="146">
        <f>[15]Recap!$D16</f>
        <v>13.795922481066674</v>
      </c>
      <c r="Q28" s="142">
        <f t="shared" si="3"/>
        <v>383.9246805879103</v>
      </c>
      <c r="S28" s="33">
        <v>2027</v>
      </c>
      <c r="T28" s="144">
        <f>[1]Recap!$G44</f>
        <v>2.9687957112705045E-3</v>
      </c>
      <c r="U28" s="144">
        <f>[2]Recap!$G44</f>
        <v>8.9223915527896695E-4</v>
      </c>
      <c r="V28" s="144">
        <f>[3]Recap!$G44</f>
        <v>1.3653624606274967E-4</v>
      </c>
      <c r="W28" s="144">
        <f>[4]Recap!$G44</f>
        <v>3.6347198911461937E-5</v>
      </c>
      <c r="X28" s="144">
        <f>[5]Recap!$G44</f>
        <v>2.3394889026229146E-2</v>
      </c>
      <c r="Y28" s="144">
        <f>[6]Recap!$G44</f>
        <v>2.3594288946414524E-4</v>
      </c>
      <c r="Z28" s="144">
        <f>[7]Recap!$G44</f>
        <v>3.6375861360454669E-3</v>
      </c>
      <c r="AA28" s="144">
        <f>[8]Recap!$G43</f>
        <v>1.1425234789541219E-3</v>
      </c>
      <c r="AB28" s="144">
        <f>[9]Recap!$G43</f>
        <v>2.6389599242705437E-4</v>
      </c>
      <c r="AC28" s="144">
        <f>[10]Recap!$G43</f>
        <v>8.8669626943999863E-6</v>
      </c>
      <c r="AD28" s="144">
        <f>[11]Recap!$G42</f>
        <v>1.2375223775839421E-5</v>
      </c>
      <c r="AE28" s="144">
        <f>[12]Recap!$G42</f>
        <v>1.8278645191125342E-4</v>
      </c>
      <c r="AF28" s="144">
        <f>[13]Recap!$G42</f>
        <v>4.0261883428802063E-5</v>
      </c>
      <c r="AG28" s="144">
        <f>[14]Recap!$G40</f>
        <v>4.3052666803561384E-4</v>
      </c>
      <c r="AH28" s="147">
        <f>[15]Recap!$G40</f>
        <v>1.183301667826903E-3</v>
      </c>
    </row>
    <row r="29" spans="1:34" s="68" customFormat="1" x14ac:dyDescent="0.25">
      <c r="A29" s="164" t="s">
        <v>57</v>
      </c>
      <c r="B29" s="165">
        <f t="shared" ref="B29:H29" si="4">SUM(B19:B28)</f>
        <v>252.1352053870749</v>
      </c>
      <c r="C29" s="165">
        <f t="shared" si="4"/>
        <v>133.91672973499686</v>
      </c>
      <c r="D29" s="165">
        <f>SUM(D19:D28)</f>
        <v>20.462313265913458</v>
      </c>
      <c r="E29" s="165">
        <f t="shared" si="4"/>
        <v>6.5520609036108022</v>
      </c>
      <c r="F29" s="165">
        <f t="shared" si="4"/>
        <v>838.86735822628668</v>
      </c>
      <c r="G29" s="165">
        <f t="shared" si="4"/>
        <v>39.836469075603262</v>
      </c>
      <c r="H29" s="165">
        <f t="shared" si="4"/>
        <v>761.30815173479323</v>
      </c>
      <c r="I29" s="165">
        <f>SUM(I21:I28)</f>
        <v>335.14593181641214</v>
      </c>
      <c r="J29" s="165">
        <f>SUM(J21:J28)</f>
        <v>41.321740390577773</v>
      </c>
      <c r="K29" s="165">
        <f>SUM(K21:K28)</f>
        <v>3.0204205876640464</v>
      </c>
      <c r="L29" s="165">
        <f>SUM(L23:L28)</f>
        <v>8.0142906662880247</v>
      </c>
      <c r="M29" s="165">
        <f>SUM(M23:M28)</f>
        <v>76.871715710095231</v>
      </c>
      <c r="N29" s="165">
        <f>SUM(N23:N28)</f>
        <v>12.408830705062536</v>
      </c>
      <c r="O29" s="165">
        <f t="shared" ref="O29:P29" si="5">SUM(O23:O28)</f>
        <v>64.865218222551107</v>
      </c>
      <c r="P29" s="165">
        <f t="shared" si="5"/>
        <v>44.444703085629328</v>
      </c>
      <c r="Q29" s="127">
        <f t="shared" si="3"/>
        <v>2639.171139512559</v>
      </c>
      <c r="S29" s="164" t="s">
        <v>58</v>
      </c>
      <c r="T29" s="166">
        <f>AVERAGE(T19:T28)</f>
        <v>3.2451394653677072E-3</v>
      </c>
      <c r="U29" s="166">
        <f t="shared" ref="U29:AH29" si="6">AVERAGE(U19:U28)</f>
        <v>1.1530181126188136E-3</v>
      </c>
      <c r="V29" s="166">
        <f>AVERAGE(V19:V28)</f>
        <v>1.7732423227594671E-4</v>
      </c>
      <c r="W29" s="166">
        <f t="shared" si="6"/>
        <v>5.6170138611327053E-5</v>
      </c>
      <c r="X29" s="166">
        <f t="shared" si="6"/>
        <v>8.3937638944090471E-3</v>
      </c>
      <c r="Y29" s="166">
        <f t="shared" si="6"/>
        <v>3.6033607701108447E-4</v>
      </c>
      <c r="Z29" s="166">
        <f t="shared" si="6"/>
        <v>6.9763088803496878E-3</v>
      </c>
      <c r="AA29" s="166">
        <f t="shared" si="6"/>
        <v>3.1512621684698411E-3</v>
      </c>
      <c r="AB29" s="166">
        <f t="shared" si="6"/>
        <v>6.9989775086738302E-4</v>
      </c>
      <c r="AC29" s="166">
        <f t="shared" si="6"/>
        <v>2.7693082263332452E-5</v>
      </c>
      <c r="AD29" s="166">
        <f t="shared" si="6"/>
        <v>2.1537386958610591E-5</v>
      </c>
      <c r="AE29" s="166">
        <f t="shared" si="6"/>
        <v>2.1177980984166139E-4</v>
      </c>
      <c r="AF29" s="166">
        <f t="shared" si="6"/>
        <v>3.5663084987628684E-5</v>
      </c>
      <c r="AG29" s="166">
        <f t="shared" si="6"/>
        <v>2.269330209908783E-4</v>
      </c>
      <c r="AH29" s="166">
        <f t="shared" si="6"/>
        <v>6.3494041619381158E-4</v>
      </c>
    </row>
    <row r="30" spans="1:34" ht="7.5" customHeight="1" x14ac:dyDescent="0.3">
      <c r="A30" s="1"/>
      <c r="S30" s="1"/>
      <c r="AB30" s="125"/>
      <c r="AC30" s="125"/>
    </row>
    <row r="31" spans="1:34" ht="15.75" x14ac:dyDescent="0.25">
      <c r="A31" s="87" t="s">
        <v>60</v>
      </c>
      <c r="S31" s="87" t="s">
        <v>60</v>
      </c>
      <c r="AB31" s="125"/>
      <c r="AC31" s="125"/>
    </row>
    <row r="32" spans="1:34" s="15" customFormat="1" ht="33.75" x14ac:dyDescent="0.2">
      <c r="A32" s="88" t="s">
        <v>4</v>
      </c>
      <c r="B32" s="12" t="s">
        <v>5</v>
      </c>
      <c r="C32" s="12" t="s">
        <v>6</v>
      </c>
      <c r="D32" s="12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2" t="s">
        <v>12</v>
      </c>
      <c r="J32" s="12" t="s">
        <v>13</v>
      </c>
      <c r="K32" s="12" t="s">
        <v>14</v>
      </c>
      <c r="L32" s="12" t="s">
        <v>15</v>
      </c>
      <c r="M32" s="12" t="s">
        <v>16</v>
      </c>
      <c r="N32" s="12" t="s">
        <v>17</v>
      </c>
      <c r="O32" s="12" t="s">
        <v>18</v>
      </c>
      <c r="P32" s="12" t="s">
        <v>19</v>
      </c>
      <c r="Q32" s="128" t="s">
        <v>56</v>
      </c>
      <c r="S32" s="11" t="s">
        <v>4</v>
      </c>
      <c r="T32" s="12" t="s">
        <v>5</v>
      </c>
      <c r="U32" s="12" t="s">
        <v>6</v>
      </c>
      <c r="V32" s="12" t="s">
        <v>7</v>
      </c>
      <c r="W32" s="12" t="s">
        <v>8</v>
      </c>
      <c r="X32" s="12" t="s">
        <v>9</v>
      </c>
      <c r="Y32" s="12" t="s">
        <v>10</v>
      </c>
      <c r="Z32" s="12" t="s">
        <v>11</v>
      </c>
      <c r="AA32" s="129" t="s">
        <v>12</v>
      </c>
      <c r="AB32" s="12" t="s">
        <v>13</v>
      </c>
      <c r="AC32" s="12" t="s">
        <v>14</v>
      </c>
      <c r="AD32" s="129" t="s">
        <v>15</v>
      </c>
      <c r="AE32" s="129" t="s">
        <v>16</v>
      </c>
      <c r="AF32" s="129" t="s">
        <v>17</v>
      </c>
      <c r="AG32" s="12" t="s">
        <v>18</v>
      </c>
      <c r="AH32" s="12" t="s">
        <v>19</v>
      </c>
    </row>
    <row r="33" spans="1:34" s="15" customFormat="1" ht="12.75" x14ac:dyDescent="0.2">
      <c r="A33" s="16">
        <v>2018</v>
      </c>
      <c r="B33" s="167">
        <f>'[1]2018'!Wh_Ppv</f>
        <v>12.355579314052193</v>
      </c>
      <c r="C33" s="167">
        <f>'[2]2018'!Wh_Ppv</f>
        <v>13.605324335426303</v>
      </c>
      <c r="D33" s="167">
        <f>'[3]2018'!Wh_Ppv</f>
        <v>11.277177908806152</v>
      </c>
      <c r="E33" s="167">
        <f>'[4]2018'!Wh_Ppv</f>
        <v>10.654230512674076</v>
      </c>
      <c r="F33" s="167">
        <f>'[5]2018'!Wh_Ppv</f>
        <v>4.1474955007734025</v>
      </c>
      <c r="G33" s="167">
        <f>'[6]2018'!Wh_Ppv</f>
        <v>3.1147507785951802</v>
      </c>
      <c r="H33" s="167">
        <f>'[7]2018'!Wh_Ppv</f>
        <v>3.0863772712791615</v>
      </c>
      <c r="I33" s="168"/>
      <c r="J33" s="168"/>
      <c r="K33" s="168"/>
      <c r="L33" s="168"/>
      <c r="M33" s="168"/>
      <c r="N33" s="168"/>
      <c r="O33" s="168"/>
      <c r="P33" s="169"/>
      <c r="Q33" s="127">
        <f t="shared" ref="Q33:Q42" si="7">SUM(B33:P33)</f>
        <v>58.240935621606468</v>
      </c>
      <c r="S33" s="16">
        <v>2018</v>
      </c>
      <c r="T33" s="170">
        <f>[1]Recap!$E35</f>
        <v>2.7445102515151168E-3</v>
      </c>
      <c r="U33" s="170">
        <f>[2]Recap!$E35</f>
        <v>2.3974021512186898E-3</v>
      </c>
      <c r="V33" s="170">
        <f>[3]Recap!$E35</f>
        <v>2.5877376710289469E-3</v>
      </c>
      <c r="W33" s="170">
        <f>[4]Recap!$E35</f>
        <v>2.3084459283426715E-3</v>
      </c>
      <c r="X33" s="170">
        <f>[5]Recap!$E35</f>
        <v>1.6458224044681514E-3</v>
      </c>
      <c r="Y33" s="170">
        <f>[6]Recap!$E35</f>
        <v>2.2574174806909626E-3</v>
      </c>
      <c r="Z33" s="170">
        <f>[7]Recap!$E35</f>
        <v>2.2617185136911489E-3</v>
      </c>
      <c r="AA33" s="171"/>
      <c r="AB33" s="171"/>
      <c r="AC33" s="171"/>
      <c r="AD33" s="171"/>
      <c r="AE33" s="171"/>
      <c r="AF33" s="171"/>
      <c r="AG33" s="171"/>
      <c r="AH33" s="172"/>
    </row>
    <row r="34" spans="1:34" s="15" customFormat="1" ht="12.75" x14ac:dyDescent="0.2">
      <c r="A34" s="16">
        <v>2019</v>
      </c>
      <c r="B34" s="167">
        <f>'[1]2019'!Wh_Ppv</f>
        <v>70.443593428278291</v>
      </c>
      <c r="C34" s="167">
        <f>'[2]2019'!Wh_Ppv</f>
        <v>97.534114424604923</v>
      </c>
      <c r="D34" s="167">
        <f>'[3]2019'!Wh_Ppv</f>
        <v>99.340815579875198</v>
      </c>
      <c r="E34" s="167">
        <f>'[4]2019'!Wh_Ppv</f>
        <v>98.77463814363</v>
      </c>
      <c r="F34" s="167">
        <f>'[5]2019'!Wh_Ppv</f>
        <v>79.38384149174999</v>
      </c>
      <c r="G34" s="167">
        <f>'[6]2019'!Wh_Ppv</f>
        <v>83.01545922456171</v>
      </c>
      <c r="H34" s="167">
        <f>'[7]2019'!Wh_Ppv</f>
        <v>81.938693449063067</v>
      </c>
      <c r="I34" s="167">
        <f>'[8]2019'!Wh_Ppv</f>
        <v>35.758964163449491</v>
      </c>
      <c r="J34" s="167">
        <f>'[9]2019'!Wh_Ppv</f>
        <v>35.107345778133094</v>
      </c>
      <c r="K34" s="167">
        <f>'[10]2019'!Wh_Ppv</f>
        <v>32.63562161381742</v>
      </c>
      <c r="L34" s="167"/>
      <c r="M34" s="167"/>
      <c r="N34" s="167"/>
      <c r="O34" s="167"/>
      <c r="P34" s="173"/>
      <c r="Q34" s="127">
        <f t="shared" si="7"/>
        <v>713.93308729716318</v>
      </c>
      <c r="S34" s="16">
        <v>2019</v>
      </c>
      <c r="T34" s="170">
        <f>[1]Recap!$E36</f>
        <v>9.4350942996907078E-3</v>
      </c>
      <c r="U34" s="170">
        <f>[2]Recap!$E36</f>
        <v>8.691787015430141E-3</v>
      </c>
      <c r="V34" s="170">
        <f>[3]Recap!$E36</f>
        <v>8.5781075074727754E-3</v>
      </c>
      <c r="W34" s="170">
        <f>[4]Recap!$E36</f>
        <v>8.3819987309747424E-3</v>
      </c>
      <c r="X34" s="170">
        <f>[5]Recap!$E36</f>
        <v>7.6073903967093714E-3</v>
      </c>
      <c r="Y34" s="170">
        <f>[6]Recap!$E36</f>
        <v>7.6340505023062251E-3</v>
      </c>
      <c r="Z34" s="170">
        <f>[7]Recap!$E36</f>
        <v>7.610457035857404E-3</v>
      </c>
      <c r="AA34" s="170">
        <f>[8]Recap!$E35</f>
        <v>3.5596165102353854E-3</v>
      </c>
      <c r="AB34" s="170">
        <f>[9]Recap!$E35</f>
        <v>3.4223456565418034E-3</v>
      </c>
      <c r="AC34" s="170">
        <f>[10]Recap!$E35</f>
        <v>3.1495627912824331E-3</v>
      </c>
      <c r="AD34" s="170"/>
      <c r="AE34" s="170"/>
      <c r="AF34" s="170"/>
      <c r="AG34" s="170"/>
      <c r="AH34" s="174"/>
    </row>
    <row r="35" spans="1:34" s="15" customFormat="1" ht="12.75" x14ac:dyDescent="0.2">
      <c r="A35" s="16">
        <v>2020</v>
      </c>
      <c r="B35" s="167">
        <f>'[1]2020'!Wh_Ppv</f>
        <v>123.80787121146386</v>
      </c>
      <c r="C35" s="167">
        <f>'[2]2020'!Wh_Ppv</f>
        <v>176.98408528951586</v>
      </c>
      <c r="D35" s="167">
        <f>'[3]2020'!Wh_Ppv</f>
        <v>185.62870582959113</v>
      </c>
      <c r="E35" s="167">
        <f>'[4]2020'!Wh_Ppv</f>
        <v>185.50430684100138</v>
      </c>
      <c r="F35" s="167">
        <f>'[5]2020'!Wh_Ppv</f>
        <v>193.6466379014837</v>
      </c>
      <c r="G35" s="167">
        <f>'[6]2020'!Wh_Ppv</f>
        <v>167.18169118171863</v>
      </c>
      <c r="H35" s="167">
        <f>'[7]2020'!Wh_Ppv</f>
        <v>159.45843053011595</v>
      </c>
      <c r="I35" s="167">
        <f>'[8]2020'!Wh_Ppv</f>
        <v>115.47808310310756</v>
      </c>
      <c r="J35" s="167">
        <f>'[9]2020'!Wh_Ppv</f>
        <v>114.8578763951009</v>
      </c>
      <c r="K35" s="167">
        <f>'[10]2020'!Wh_Ppv</f>
        <v>112.73743496705174</v>
      </c>
      <c r="L35" s="167">
        <f>'[11]2020'!Wh_Ppv</f>
        <v>174.61724272811989</v>
      </c>
      <c r="M35" s="167">
        <f>'[12]2020'!Wh_Ppv</f>
        <v>163.67482860564633</v>
      </c>
      <c r="N35" s="167">
        <f>'[13]2020'!Wh_Ppv</f>
        <v>39.294647503702436</v>
      </c>
      <c r="O35" s="167"/>
      <c r="P35" s="173"/>
      <c r="Q35" s="127">
        <f t="shared" si="7"/>
        <v>1912.8718420876194</v>
      </c>
      <c r="S35" s="16">
        <v>2020</v>
      </c>
      <c r="T35" s="170">
        <f>[1]Recap!$E37</f>
        <v>1.7561014078621512E-2</v>
      </c>
      <c r="U35" s="170">
        <f>[2]Recap!$E37</f>
        <v>1.6822207052419276E-2</v>
      </c>
      <c r="V35" s="170">
        <f>[3]Recap!$E37</f>
        <v>1.6671419666160758E-2</v>
      </c>
      <c r="W35" s="170">
        <f>[4]Recap!$E37</f>
        <v>1.6473918027598417E-2</v>
      </c>
      <c r="X35" s="170">
        <f>[5]Recap!$E37</f>
        <v>1.9897094110880215E-2</v>
      </c>
      <c r="Y35" s="170">
        <f>[6]Recap!$E37</f>
        <v>1.6222190251212267E-2</v>
      </c>
      <c r="Z35" s="170">
        <f>[7]Recap!$E37</f>
        <v>1.6190377660076076E-2</v>
      </c>
      <c r="AA35" s="170">
        <f>[8]Recap!$E36</f>
        <v>1.0208704922166845E-2</v>
      </c>
      <c r="AB35" s="170">
        <f>[9]Recap!$E36</f>
        <v>1.0094932119871306E-2</v>
      </c>
      <c r="AC35" s="170">
        <f>[10]Recap!$E36</f>
        <v>9.8014696424478989E-3</v>
      </c>
      <c r="AD35" s="170">
        <f>[11]Recap!$E35</f>
        <v>3.7533439879971929E-3</v>
      </c>
      <c r="AE35" s="170">
        <f>[12]Recap!$E35</f>
        <v>3.5303497068894557E-3</v>
      </c>
      <c r="AF35" s="170">
        <f>[13]Recap!$E35</f>
        <v>1.5275133097847489E-3</v>
      </c>
      <c r="AG35" s="170"/>
      <c r="AH35" s="174"/>
    </row>
    <row r="36" spans="1:34" s="15" customFormat="1" ht="12.75" x14ac:dyDescent="0.2">
      <c r="A36" s="16">
        <v>2021</v>
      </c>
      <c r="B36" s="167">
        <f>'[1]2021'!Wh_Ppv</f>
        <v>182.61258547714806</v>
      </c>
      <c r="C36" s="167">
        <f>'[2]2021'!Wh_Ppv</f>
        <v>274.30454854463824</v>
      </c>
      <c r="D36" s="167">
        <f>'[3]2021'!Wh_Ppv</f>
        <v>266.3803493750911</v>
      </c>
      <c r="E36" s="167">
        <f>'[4]2021'!Wh_Ppv</f>
        <v>274.86827197253479</v>
      </c>
      <c r="F36" s="167">
        <f>'[5]2021'!Wh_Ppv</f>
        <v>356.56539381578477</v>
      </c>
      <c r="G36" s="167">
        <f>'[6]2021'!Wh_Ppv</f>
        <v>257.48080975731318</v>
      </c>
      <c r="H36" s="167">
        <f>'[7]2021'!Wh_Ppv</f>
        <v>246.60500400489036</v>
      </c>
      <c r="I36" s="167">
        <f>'[8]2021'!Wh_Ppv</f>
        <v>185.92643981699075</v>
      </c>
      <c r="J36" s="167">
        <f>'[9]2021'!Wh_Ppv</f>
        <v>185.66778992785657</v>
      </c>
      <c r="K36" s="167">
        <f>'[10]2021'!Wh_Ppv</f>
        <v>182.13516275789334</v>
      </c>
      <c r="L36" s="167">
        <f>'[11]2021'!Wh_Ppv</f>
        <v>399.28117612332426</v>
      </c>
      <c r="M36" s="167">
        <f>'[12]2021'!Wh_Ppv</f>
        <v>396.53295113176864</v>
      </c>
      <c r="N36" s="167">
        <f>'[13]2021'!Wh_Ppv</f>
        <v>172.57184267759294</v>
      </c>
      <c r="O36" s="167"/>
      <c r="P36" s="173"/>
      <c r="Q36" s="127">
        <f t="shared" si="7"/>
        <v>3380.932325382827</v>
      </c>
      <c r="S36" s="16">
        <v>2021</v>
      </c>
      <c r="T36" s="170">
        <f>[1]Recap!$E38</f>
        <v>2.5834302827776726E-2</v>
      </c>
      <c r="U36" s="170">
        <f>[2]Recap!$E38</f>
        <v>2.5120862823189982E-2</v>
      </c>
      <c r="V36" s="170">
        <f>[3]Recap!$E38</f>
        <v>2.4305450568618988E-2</v>
      </c>
      <c r="W36" s="170">
        <f>[4]Recap!$E38</f>
        <v>2.4718158610383706E-2</v>
      </c>
      <c r="X36" s="170">
        <f>[5]Recap!$E38</f>
        <v>3.6751097312847009E-2</v>
      </c>
      <c r="Y36" s="170">
        <f>[6]Recap!$E38</f>
        <v>2.4984557883716511E-2</v>
      </c>
      <c r="Z36" s="170">
        <f>[7]Recap!$E38</f>
        <v>2.4963679292763781E-2</v>
      </c>
      <c r="AA36" s="170">
        <f>[8]Recap!$E37</f>
        <v>1.7346618992825434E-2</v>
      </c>
      <c r="AB36" s="170">
        <f>[9]Recap!$E37</f>
        <v>1.72241640195442E-2</v>
      </c>
      <c r="AC36" s="170">
        <f>[10]Recap!$E37</f>
        <v>1.6935773159675226E-2</v>
      </c>
      <c r="AD36" s="170">
        <f>[11]Recap!$E36</f>
        <v>9.2410469144759769E-3</v>
      </c>
      <c r="AE36" s="170">
        <f>[12]Recap!$E36</f>
        <v>8.8004229518366776E-3</v>
      </c>
      <c r="AF36" s="170">
        <f>[13]Recap!$E36</f>
        <v>4.0548391740790118E-3</v>
      </c>
      <c r="AG36" s="170"/>
      <c r="AH36" s="174"/>
    </row>
    <row r="37" spans="1:34" s="43" customFormat="1" ht="12.75" x14ac:dyDescent="0.2">
      <c r="A37" s="136">
        <v>2022</v>
      </c>
      <c r="B37" s="175">
        <f>'[1]2022'!Wh_Ppv</f>
        <v>237.68976977509919</v>
      </c>
      <c r="C37" s="175">
        <f>'[2]2022'!Wh_Ppv</f>
        <v>353.7677886955953</v>
      </c>
      <c r="D37" s="175">
        <f>'[3]2022'!Wh_Ppv</f>
        <v>348.72497652425955</v>
      </c>
      <c r="E37" s="175">
        <f>'[4]2022'!Wh_Ppv</f>
        <v>364.47232747548878</v>
      </c>
      <c r="F37" s="175">
        <f>'[5]2022'!Wh_Ppv</f>
        <v>464.66729413232497</v>
      </c>
      <c r="G37" s="175">
        <f>'[6]2022'!Wh_Ppv</f>
        <v>346.63525833777385</v>
      </c>
      <c r="H37" s="175">
        <f>'[7]2022'!Wh_Ppv</f>
        <v>325.41676796126012</v>
      </c>
      <c r="I37" s="175">
        <f>'[8]2022'!Wh_Ppv</f>
        <v>274.90880984406976</v>
      </c>
      <c r="J37" s="175">
        <f>'[9]2022'!Wh_Ppv</f>
        <v>277.68692906999786</v>
      </c>
      <c r="K37" s="175">
        <f>'[10]2022'!Wh_Ppv</f>
        <v>280.42706538638959</v>
      </c>
      <c r="L37" s="175">
        <f>'[11]2022'!Wh_Ppv</f>
        <v>702.78449145479681</v>
      </c>
      <c r="M37" s="175">
        <f>'[12]2022'!Wh_Ppv</f>
        <v>749.01470185581275</v>
      </c>
      <c r="N37" s="175">
        <f>'[13]2022'!Wh_Ppv</f>
        <v>293.54489498129988</v>
      </c>
      <c r="O37" s="175">
        <f>'[14]2022'!Wh_Ppv</f>
        <v>230.38563798453106</v>
      </c>
      <c r="P37" s="176">
        <f>'[15]2022'!Wh_Ppv</f>
        <v>32.230269487068654</v>
      </c>
      <c r="Q37" s="139">
        <f t="shared" si="7"/>
        <v>5282.3569829657681</v>
      </c>
      <c r="S37" s="136">
        <v>2022</v>
      </c>
      <c r="T37" s="177">
        <f>[1]Recap!$E39</f>
        <v>3.3516462519325232E-2</v>
      </c>
      <c r="U37" s="177">
        <f>[2]Recap!$E39</f>
        <v>3.3068068815850199E-2</v>
      </c>
      <c r="V37" s="177">
        <f>[3]Recap!$E39</f>
        <v>3.1657874740773459E-2</v>
      </c>
      <c r="W37" s="177">
        <f>[4]Recap!$E39</f>
        <v>3.293169673192823E-2</v>
      </c>
      <c r="X37" s="177">
        <f>[5]Recap!$E39</f>
        <v>5.0450141408478283E-2</v>
      </c>
      <c r="Y37" s="177">
        <f>[6]Recap!$E39</f>
        <v>3.3332076055731241E-2</v>
      </c>
      <c r="Z37" s="177">
        <f>[7]Recap!$E39</f>
        <v>3.3335860331915448E-2</v>
      </c>
      <c r="AA37" s="177">
        <f>[8]Recap!$E38</f>
        <v>2.3948552408587873E-2</v>
      </c>
      <c r="AB37" s="177">
        <f>[9]Recap!$E38</f>
        <v>2.404548100932373E-2</v>
      </c>
      <c r="AC37" s="177">
        <f>[10]Recap!$E38</f>
        <v>2.4185866259582075E-2</v>
      </c>
      <c r="AD37" s="177">
        <f>[11]Recap!$E37</f>
        <v>1.4646977165567246E-2</v>
      </c>
      <c r="AE37" s="177">
        <f>[12]Recap!$E37</f>
        <v>1.598281379480122E-2</v>
      </c>
      <c r="AF37" s="177">
        <f>[13]Recap!$E37</f>
        <v>6.8739481214382487E-3</v>
      </c>
      <c r="AG37" s="177">
        <f>[14]Recap!$E35</f>
        <v>4.9229731676435412E-3</v>
      </c>
      <c r="AH37" s="178">
        <f>[15]Recap!$E35</f>
        <v>2.8173571074794528E-3</v>
      </c>
    </row>
    <row r="38" spans="1:34" s="43" customFormat="1" ht="12.75" x14ac:dyDescent="0.2">
      <c r="A38" s="33">
        <v>2023</v>
      </c>
      <c r="B38" s="142">
        <f>'[1]2023'!Wh_Ppv</f>
        <v>304.95469433353719</v>
      </c>
      <c r="C38" s="142">
        <f>'[2]2023'!Wh_Ppv</f>
        <v>450.45335823762616</v>
      </c>
      <c r="D38" s="142">
        <f>'[3]2023'!Wh_Ppv</f>
        <v>441.87626756516693</v>
      </c>
      <c r="E38" s="142">
        <f>'[4]2023'!Wh_Ppv</f>
        <v>456.57761385163576</v>
      </c>
      <c r="F38" s="142">
        <f>'[5]2023'!Wh_Ppv</f>
        <v>620.236993750068</v>
      </c>
      <c r="G38" s="142">
        <f>'[6]2023'!Wh_Ppv</f>
        <v>452.91349456853095</v>
      </c>
      <c r="H38" s="142">
        <f>'[7]2023'!Wh_Ppv</f>
        <v>440.91880744917398</v>
      </c>
      <c r="I38" s="142">
        <f>'[8]2023'!Wh_Ppv</f>
        <v>362.27068568857248</v>
      </c>
      <c r="J38" s="142">
        <f>'[9]2023'!Wh_Ppv</f>
        <v>164.06131240255218</v>
      </c>
      <c r="K38" s="142">
        <f>'[10]2023'!Wh_Ppv</f>
        <v>364.98484749721138</v>
      </c>
      <c r="L38" s="142">
        <f>'[11]2023'!Wh_Ppv</f>
        <v>971.53345264642849</v>
      </c>
      <c r="M38" s="142">
        <f>'[12]2023'!Wh_Ppv</f>
        <v>1014.8112995538831</v>
      </c>
      <c r="N38" s="142">
        <f>'[13]2023'!Wh_Ppv</f>
        <v>435.26316049518937</v>
      </c>
      <c r="O38" s="142">
        <f>'[14]2023'!Wh_Ppv</f>
        <v>436.52144099080033</v>
      </c>
      <c r="P38" s="143">
        <f>'[15]2023'!Wh_Ppv</f>
        <v>91.73663684694111</v>
      </c>
      <c r="Q38" s="142">
        <f t="shared" si="7"/>
        <v>7009.1140658773174</v>
      </c>
      <c r="S38" s="33">
        <v>2023</v>
      </c>
      <c r="T38" s="144">
        <f>[1]Recap!$E40</f>
        <v>4.2412255918416637E-2</v>
      </c>
      <c r="U38" s="144">
        <f>[2]Recap!$E40</f>
        <v>4.1692293058189847E-2</v>
      </c>
      <c r="V38" s="144">
        <f>[3]Recap!$E40</f>
        <v>4.0213896361260701E-2</v>
      </c>
      <c r="W38" s="144">
        <f>[4]Recap!$E40</f>
        <v>4.1291591040478165E-2</v>
      </c>
      <c r="X38" s="144">
        <f>[5]Recap!$E40</f>
        <v>6.5993698099546666E-2</v>
      </c>
      <c r="Y38" s="144">
        <f>[6]Recap!$E40</f>
        <v>4.2617042350931264E-2</v>
      </c>
      <c r="Z38" s="144">
        <f>[7]Recap!$E40</f>
        <v>4.2528889902709525E-2</v>
      </c>
      <c r="AA38" s="144">
        <f>[8]Recap!$E39</f>
        <v>3.1746528911026556E-2</v>
      </c>
      <c r="AB38" s="144">
        <f>[9]Recap!$E39</f>
        <v>3.1839384612177654E-2</v>
      </c>
      <c r="AC38" s="144">
        <f>[10]Recap!$E39</f>
        <v>3.1350903228864899E-2</v>
      </c>
      <c r="AD38" s="144">
        <f>[11]Recap!$E38</f>
        <v>2.0447162813836912E-2</v>
      </c>
      <c r="AE38" s="144">
        <f>[12]Recap!$E38</f>
        <v>2.1829258599729569E-2</v>
      </c>
      <c r="AF38" s="144">
        <f>[13]Recap!$E38</f>
        <v>1.0127128254865917E-2</v>
      </c>
      <c r="AG38" s="144">
        <f>[14]Recap!$E36</f>
        <v>9.376929279482079E-3</v>
      </c>
      <c r="AH38" s="145">
        <f>[15]Recap!$E36</f>
        <v>8.0155113741081866E-3</v>
      </c>
    </row>
    <row r="39" spans="1:34" s="43" customFormat="1" ht="12.75" x14ac:dyDescent="0.2">
      <c r="A39" s="33">
        <v>2024</v>
      </c>
      <c r="B39" s="142">
        <f>'[1]2024'!Wh_Ppv</f>
        <v>365.20167162010785</v>
      </c>
      <c r="C39" s="142">
        <f>'[2]2024'!Wh_Ppv</f>
        <v>545.34058224744876</v>
      </c>
      <c r="D39" s="142">
        <f>'[3]2024'!Wh_Ppv</f>
        <v>523.75593603872767</v>
      </c>
      <c r="E39" s="142">
        <f>'[4]2024'!Wh_Ppv</f>
        <v>536.5208174046893</v>
      </c>
      <c r="F39" s="142">
        <f>'[5]2024'!Wh_Ppv</f>
        <v>674.88902264457647</v>
      </c>
      <c r="G39" s="142">
        <f>'[6]2024'!Wh_Ppv</f>
        <v>548.94239679578095</v>
      </c>
      <c r="H39" s="142">
        <f>'[7]2024'!Wh_Ppv</f>
        <v>519.78510084310619</v>
      </c>
      <c r="I39" s="142">
        <f>'[8]2024'!Wh_Ppv</f>
        <v>440.01950230376497</v>
      </c>
      <c r="J39" s="142">
        <f>'[9]2024'!Wh_Ppv</f>
        <v>199.94071623721629</v>
      </c>
      <c r="K39" s="142">
        <f>'[10]2024'!Wh_Ppv</f>
        <v>445.74320722255652</v>
      </c>
      <c r="L39" s="142">
        <f>'[11]2024'!Wh_Ppv</f>
        <v>1237.4647640025651</v>
      </c>
      <c r="M39" s="142">
        <f>'[12]2024'!Wh_Ppv</f>
        <v>1265.7727071792033</v>
      </c>
      <c r="N39" s="142">
        <f>'[13]2024'!Wh_Ppv</f>
        <v>564.51011116472364</v>
      </c>
      <c r="O39" s="142">
        <f>'[14]2024'!Wh_Ppv</f>
        <v>671.45749292759137</v>
      </c>
      <c r="P39" s="143">
        <f>'[15]2024'!Wh_Ppv</f>
        <v>149.18033065945201</v>
      </c>
      <c r="Q39" s="142">
        <f t="shared" si="7"/>
        <v>8688.5243592915103</v>
      </c>
      <c r="S39" s="33">
        <v>2024</v>
      </c>
      <c r="T39" s="144">
        <f>[1]Recap!$E41</f>
        <v>5.0758158902619047E-2</v>
      </c>
      <c r="U39" s="144">
        <f>[2]Recap!$E41</f>
        <v>5.0017211695337925E-2</v>
      </c>
      <c r="V39" s="144">
        <f>[3]Recap!$E41</f>
        <v>4.852327079753764E-2</v>
      </c>
      <c r="W39" s="144">
        <f>[4]Recap!$E41</f>
        <v>4.9620962700682912E-2</v>
      </c>
      <c r="X39" s="144">
        <f>[5]Recap!$E41</f>
        <v>7.5218485551949849E-2</v>
      </c>
      <c r="Y39" s="144">
        <f>[6]Recap!$E41</f>
        <v>5.1487590905777189E-2</v>
      </c>
      <c r="Z39" s="144">
        <f>[7]Recap!$E41</f>
        <v>5.1448613770095429E-2</v>
      </c>
      <c r="AA39" s="144">
        <f>[8]Recap!$E40</f>
        <v>3.8999461132686257E-2</v>
      </c>
      <c r="AB39" s="144">
        <f>[9]Recap!$E40</f>
        <v>3.9088515721873891E-2</v>
      </c>
      <c r="AC39" s="144">
        <f>[10]Recap!$E40</f>
        <v>3.8602060465450644E-2</v>
      </c>
      <c r="AD39" s="144">
        <f>[11]Recap!$E39</f>
        <v>2.6070096171840428E-2</v>
      </c>
      <c r="AE39" s="144">
        <f>[12]Recap!$E39</f>
        <v>2.7368800065877788E-2</v>
      </c>
      <c r="AF39" s="144">
        <f>[13]Recap!$E39</f>
        <v>1.3150565556066807E-2</v>
      </c>
      <c r="AG39" s="144">
        <f>[14]Recap!$E37</f>
        <v>1.4431412728468049E-2</v>
      </c>
      <c r="AH39" s="145">
        <f>[15]Recap!$E37</f>
        <v>1.3064450555766908E-2</v>
      </c>
    </row>
    <row r="40" spans="1:34" s="43" customFormat="1" ht="12.75" x14ac:dyDescent="0.2">
      <c r="A40" s="33">
        <v>2025</v>
      </c>
      <c r="B40" s="142">
        <f>'[1]2025'!Wh_Ppv</f>
        <v>424.32796490029978</v>
      </c>
      <c r="C40" s="142">
        <f>'[2]2025'!Wh_Ppv</f>
        <v>633.51448303822326</v>
      </c>
      <c r="D40" s="142">
        <f>'[3]2025'!Wh_Ppv</f>
        <v>618.00387907886034</v>
      </c>
      <c r="E40" s="142">
        <f>'[4]2025'!Wh_Ppv</f>
        <v>632.69029517714444</v>
      </c>
      <c r="F40" s="142">
        <f>'[5]2025'!Wh_Ppv</f>
        <v>774.11542190649925</v>
      </c>
      <c r="G40" s="142">
        <f>'[6]2025'!Wh_Ppv</f>
        <v>639.17123731438187</v>
      </c>
      <c r="H40" s="142">
        <f>'[7]2025'!Wh_Ppv</f>
        <v>616.3124483316551</v>
      </c>
      <c r="I40" s="142">
        <f>'[8]2025'!Wh_Ppv</f>
        <v>516.51243652059384</v>
      </c>
      <c r="J40" s="142">
        <f>'[9]2025'!Wh_Ppv</f>
        <v>235.16671864050386</v>
      </c>
      <c r="K40" s="142">
        <f>'[10]2025'!Wh_Ppv</f>
        <v>525.61085595078475</v>
      </c>
      <c r="L40" s="142">
        <f>'[11]2025'!Wh_Ppv</f>
        <v>1496.1048812745794</v>
      </c>
      <c r="M40" s="142">
        <f>'[12]2025'!Wh_Ppv</f>
        <v>1506.8336487031265</v>
      </c>
      <c r="N40" s="142">
        <f>'[13]2025'!Wh_Ppv</f>
        <v>697.31554002434132</v>
      </c>
      <c r="O40" s="142">
        <f>'[14]2025'!Wh_Ppv</f>
        <v>902.55286455410533</v>
      </c>
      <c r="P40" s="143">
        <f>'[15]2025'!Wh_Ppv</f>
        <v>205.92599733151837</v>
      </c>
      <c r="Q40" s="142">
        <f t="shared" si="7"/>
        <v>10424.158672746618</v>
      </c>
      <c r="S40" s="33">
        <v>2025</v>
      </c>
      <c r="T40" s="144">
        <f>[1]Recap!$E42</f>
        <v>5.9231626241671262E-2</v>
      </c>
      <c r="U40" s="144">
        <f>[2]Recap!$E42</f>
        <v>5.8465582143660023E-2</v>
      </c>
      <c r="V40" s="144">
        <f>[3]Recap!$E42</f>
        <v>5.697518443593378E-2</v>
      </c>
      <c r="W40" s="144">
        <f>[4]Recap!$E42</f>
        <v>5.8096439558464399E-2</v>
      </c>
      <c r="X40" s="144">
        <f>[5]Recap!$E42</f>
        <v>8.4685302997817208E-2</v>
      </c>
      <c r="Y40" s="144">
        <f>[6]Recap!$E42</f>
        <v>6.0477985441720158E-2</v>
      </c>
      <c r="Z40" s="144">
        <f>[7]Recap!$E42</f>
        <v>6.0508272032358375E-2</v>
      </c>
      <c r="AA40" s="144">
        <f>[8]Recap!$E41</f>
        <v>4.6305194929259698E-2</v>
      </c>
      <c r="AB40" s="144">
        <f>[9]Recap!$E41</f>
        <v>4.6397499886514461E-2</v>
      </c>
      <c r="AC40" s="144">
        <f>[10]Recap!$E41</f>
        <v>4.5906947383157731E-2</v>
      </c>
      <c r="AD40" s="144">
        <f>[11]Recap!$E40</f>
        <v>3.1736541707288179E-2</v>
      </c>
      <c r="AE40" s="144">
        <f>[12]Recap!$E40</f>
        <v>3.2802146555931312E-2</v>
      </c>
      <c r="AF40" s="144">
        <f>[13]Recap!$E40</f>
        <v>1.6203456021461067E-2</v>
      </c>
      <c r="AG40" s="144">
        <f>[14]Recap!$E38</f>
        <v>1.9523178423596542E-2</v>
      </c>
      <c r="AH40" s="145">
        <f>[15]Recap!$E38</f>
        <v>1.8149805888248296E-2</v>
      </c>
    </row>
    <row r="41" spans="1:34" s="43" customFormat="1" ht="12.75" x14ac:dyDescent="0.2">
      <c r="A41" s="33">
        <v>2026</v>
      </c>
      <c r="B41" s="142">
        <f>'[1]2026'!Wh_Ppv</f>
        <v>482.68827410066024</v>
      </c>
      <c r="C41" s="142">
        <f>'[2]2026'!Wh_Ppv</f>
        <v>719.87970197420691</v>
      </c>
      <c r="D41" s="142">
        <f>'[3]2026'!Wh_Ppv</f>
        <v>694.27693107947744</v>
      </c>
      <c r="E41" s="142">
        <f>'[4]2026'!Wh_Ppv</f>
        <v>707.35513939123484</v>
      </c>
      <c r="F41" s="142">
        <f>'[5]2026'!Wh_Ppv</f>
        <v>815.73852226313284</v>
      </c>
      <c r="G41" s="142">
        <f>'[6]2026'!Wh_Ppv</f>
        <v>728.75592547284759</v>
      </c>
      <c r="H41" s="142">
        <f>'[7]2026'!Wh_Ppv</f>
        <v>709.09325199536761</v>
      </c>
      <c r="I41" s="142">
        <f>'[8]2026'!Wh_Ppv</f>
        <v>599.00933738052845</v>
      </c>
      <c r="J41" s="142">
        <f>'[9]2026'!Wh_Ppv</f>
        <v>271.21864702646053</v>
      </c>
      <c r="K41" s="142">
        <f>'[10]2026'!Wh_Ppv</f>
        <v>605.47721375175206</v>
      </c>
      <c r="L41" s="142">
        <f>'[11]2026'!Wh_Ppv</f>
        <v>1754.4637598085319</v>
      </c>
      <c r="M41" s="142">
        <f>'[12]2026'!Wh_Ppv</f>
        <v>1770.4617563898573</v>
      </c>
      <c r="N41" s="142">
        <f>'[13]2026'!Wh_Ppv</f>
        <v>820.08441356042749</v>
      </c>
      <c r="O41" s="142">
        <f>'[14]2026'!Wh_Ppv</f>
        <v>1132.8056302234327</v>
      </c>
      <c r="P41" s="143">
        <f>'[15]2026'!Wh_Ppv</f>
        <v>262.37051214135681</v>
      </c>
      <c r="Q41" s="142">
        <f t="shared" si="7"/>
        <v>12073.679016559274</v>
      </c>
      <c r="S41" s="33">
        <v>2026</v>
      </c>
      <c r="T41" s="144">
        <f>[1]Recap!$E43</f>
        <v>6.7715642161066972E-2</v>
      </c>
      <c r="U41" s="144">
        <f>[2]Recap!$E43</f>
        <v>6.6959312333812082E-2</v>
      </c>
      <c r="V41" s="144">
        <f>[3]Recap!$E43</f>
        <v>6.5418593711729686E-2</v>
      </c>
      <c r="W41" s="144">
        <f>[4]Recap!$E43</f>
        <v>6.6555695037755408E-2</v>
      </c>
      <c r="X41" s="144">
        <f>[5]Recap!$E43</f>
        <v>9.4078470917288395E-2</v>
      </c>
      <c r="Y41" s="144">
        <f>[6]Recap!$E43</f>
        <v>6.9522829239701017E-2</v>
      </c>
      <c r="Z41" s="144">
        <f>[7]Recap!$E43</f>
        <v>6.9507410723243582E-2</v>
      </c>
      <c r="AA41" s="144">
        <f>[8]Recap!$E42</f>
        <v>5.3671808051211363E-2</v>
      </c>
      <c r="AB41" s="144">
        <f>[9]Recap!$E42</f>
        <v>5.375029143639893E-2</v>
      </c>
      <c r="AC41" s="144">
        <f>[10]Recap!$E42</f>
        <v>5.324925971391261E-2</v>
      </c>
      <c r="AD41" s="144">
        <f>[11]Recap!$E41</f>
        <v>3.7422812532558691E-2</v>
      </c>
      <c r="AE41" s="144">
        <f>[12]Recap!$E41</f>
        <v>3.8775970324104847E-2</v>
      </c>
      <c r="AF41" s="144">
        <f>[13]Recap!$E41</f>
        <v>1.924961420725237E-2</v>
      </c>
      <c r="AG41" s="144">
        <f>[14]Recap!$E39</f>
        <v>2.4629988076848269E-2</v>
      </c>
      <c r="AH41" s="145">
        <f>[15]Recap!$E39</f>
        <v>2.324954126503663E-2</v>
      </c>
    </row>
    <row r="42" spans="1:34" s="43" customFormat="1" ht="12.75" x14ac:dyDescent="0.2">
      <c r="A42" s="33">
        <v>2027</v>
      </c>
      <c r="B42" s="142">
        <f>'[1]2027'!Wh_Ppv</f>
        <v>538.23965866815252</v>
      </c>
      <c r="C42" s="142">
        <f>'[2]2027'!Wh_Ppv</f>
        <v>805.06014418652376</v>
      </c>
      <c r="D42" s="142">
        <f>'[3]2027'!Wh_Ppv</f>
        <v>789.78862912787918</v>
      </c>
      <c r="E42" s="142">
        <f>'[4]2027'!Wh_Ppv</f>
        <v>805.44553902198822</v>
      </c>
      <c r="F42" s="142">
        <f>'[5]2027'!Wh_Ppv</f>
        <v>915.22999124804301</v>
      </c>
      <c r="G42" s="142">
        <f>'[6]2027'!Wh_Ppv</f>
        <v>817.27893381289505</v>
      </c>
      <c r="H42" s="142">
        <f>'[7]2027'!Wh_Ppv</f>
        <v>792.8074399815705</v>
      </c>
      <c r="I42" s="142">
        <f>'[8]2027'!Wh_Ppv</f>
        <v>678.87628202181986</v>
      </c>
      <c r="J42" s="142">
        <f>'[9]2027'!Wh_Ppv</f>
        <v>306.5804718012796</v>
      </c>
      <c r="K42" s="142">
        <f>'[10]2027'!Wh_Ppv</f>
        <v>684.75790198994946</v>
      </c>
      <c r="L42" s="142">
        <f>'[11]2027'!Wh_Ppv</f>
        <v>2011.5457714281947</v>
      </c>
      <c r="M42" s="142">
        <f>'[12]2027'!Wh_Ppv</f>
        <v>2010.4890206115742</v>
      </c>
      <c r="N42" s="142">
        <f>'[13]2027'!Wh_Ppv</f>
        <v>954.61299309079186</v>
      </c>
      <c r="O42" s="142">
        <f>'[14]2027'!Wh_Ppv</f>
        <v>1361.8336407628231</v>
      </c>
      <c r="P42" s="143">
        <f>'[15]2027'!Wh_Ppv</f>
        <v>318.48267897577716</v>
      </c>
      <c r="Q42" s="142">
        <f t="shared" si="7"/>
        <v>13791.029096729262</v>
      </c>
      <c r="S42" s="33">
        <v>2027</v>
      </c>
      <c r="T42" s="144">
        <f>[1]Recap!$E44</f>
        <v>7.628421731660695E-2</v>
      </c>
      <c r="U42" s="144">
        <f>[2]Recap!$E44</f>
        <v>7.5523085675424623E-2</v>
      </c>
      <c r="V42" s="144">
        <f>[3]Recap!$E44</f>
        <v>7.3988690933910181E-2</v>
      </c>
      <c r="W42" s="144">
        <f>[4]Recap!$E44</f>
        <v>7.51501218625341E-2</v>
      </c>
      <c r="X42" s="144">
        <f>[5]Recap!$E44</f>
        <v>0.10369477763224516</v>
      </c>
      <c r="Y42" s="144">
        <f>[6]Recap!$E44</f>
        <v>7.8646155826191042E-2</v>
      </c>
      <c r="Z42" s="144">
        <f>[7]Recap!$E44</f>
        <v>7.8627156335985132E-2</v>
      </c>
      <c r="AA42" s="144">
        <f>[8]Recap!$E43</f>
        <v>6.1054112053753315E-2</v>
      </c>
      <c r="AB42" s="144">
        <f>[9]Recap!$E43</f>
        <v>6.1143399941534136E-2</v>
      </c>
      <c r="AC42" s="144">
        <f>[10]Recap!$E43</f>
        <v>6.0642628808033748E-2</v>
      </c>
      <c r="AD42" s="144">
        <f>[11]Recap!$E42</f>
        <v>4.3140501611642533E-2</v>
      </c>
      <c r="AE42" s="144">
        <f>[12]Recap!$E42</f>
        <v>4.4235840872277103E-2</v>
      </c>
      <c r="AF42" s="144">
        <f>[13]Recap!$E42</f>
        <v>2.2314912672417375E-2</v>
      </c>
      <c r="AG42" s="144">
        <f>[14]Recap!$E40</f>
        <v>2.9762391571273677E-2</v>
      </c>
      <c r="AH42" s="145">
        <f>[15]Recap!$E40</f>
        <v>2.8374862983931059E-2</v>
      </c>
    </row>
    <row r="43" spans="1:34" s="15" customFormat="1" x14ac:dyDescent="0.25">
      <c r="A43" s="90" t="s">
        <v>57</v>
      </c>
      <c r="B43" s="179">
        <f t="shared" ref="B43:H43" si="8">SUM(B33:B42)</f>
        <v>2742.3216628287992</v>
      </c>
      <c r="C43" s="179">
        <f t="shared" si="8"/>
        <v>4070.4441309738095</v>
      </c>
      <c r="D43" s="179">
        <f>SUM(D33:D42)</f>
        <v>3979.0536681077347</v>
      </c>
      <c r="E43" s="179">
        <f t="shared" si="8"/>
        <v>4072.8631797920216</v>
      </c>
      <c r="F43" s="179">
        <f t="shared" si="8"/>
        <v>4898.6206146544364</v>
      </c>
      <c r="G43" s="179">
        <f t="shared" si="8"/>
        <v>4044.4899572443992</v>
      </c>
      <c r="H43" s="179">
        <f t="shared" si="8"/>
        <v>3895.422321817482</v>
      </c>
      <c r="I43" s="179">
        <f>SUM(I34:I42)</f>
        <v>3208.7605408428972</v>
      </c>
      <c r="J43" s="179">
        <f>SUM(J34:J42)</f>
        <v>1790.2878072791009</v>
      </c>
      <c r="K43" s="179">
        <f>SUM(K34:K42)</f>
        <v>3234.5093111374063</v>
      </c>
      <c r="L43" s="179">
        <f>SUM(L35:L42)</f>
        <v>8747.7955394665405</v>
      </c>
      <c r="M43" s="179">
        <f>SUM(M35:M42)</f>
        <v>8877.5909140308722</v>
      </c>
      <c r="N43" s="179">
        <f>SUM(N35:N42)</f>
        <v>3977.1976034980689</v>
      </c>
      <c r="O43" s="179">
        <f t="shared" ref="O43:P43" si="9">SUM(O35:O42)</f>
        <v>4735.5567074432838</v>
      </c>
      <c r="P43" s="179">
        <f t="shared" si="9"/>
        <v>1059.9264254421141</v>
      </c>
      <c r="Q43" s="127">
        <f>SUM(B43:P43)</f>
        <v>63334.840384558971</v>
      </c>
      <c r="S43" s="90" t="s">
        <v>58</v>
      </c>
      <c r="T43" s="180">
        <f>AVERAGE(T33:T42)</f>
        <v>3.8549328451731021E-2</v>
      </c>
      <c r="U43" s="180">
        <f t="shared" ref="U43:AD43" si="10">AVERAGE(U33:U42)</f>
        <v>3.7875781276453281E-2</v>
      </c>
      <c r="V43" s="180">
        <f>AVERAGE(V33:V42)</f>
        <v>3.689202263944269E-2</v>
      </c>
      <c r="W43" s="180">
        <f t="shared" si="10"/>
        <v>3.7552902822914278E-2</v>
      </c>
      <c r="X43" s="180">
        <f t="shared" si="10"/>
        <v>5.4002228083223039E-2</v>
      </c>
      <c r="Y43" s="180">
        <f t="shared" si="10"/>
        <v>3.8718189593797789E-2</v>
      </c>
      <c r="Z43" s="180">
        <f t="shared" si="10"/>
        <v>3.8698243559869595E-2</v>
      </c>
      <c r="AA43" s="180">
        <f t="shared" si="10"/>
        <v>3.18711775457503E-2</v>
      </c>
      <c r="AB43" s="180">
        <f t="shared" si="10"/>
        <v>3.1889557155975565E-2</v>
      </c>
      <c r="AC43" s="180">
        <f t="shared" si="10"/>
        <v>3.1536052383600806E-2</v>
      </c>
      <c r="AD43" s="180">
        <f t="shared" si="10"/>
        <v>2.3307310363150896E-2</v>
      </c>
      <c r="AE43" s="180">
        <f>AVERAGE(AE33:AE42)</f>
        <v>2.4165700358930998E-2</v>
      </c>
      <c r="AF43" s="180">
        <f t="shared" ref="AF43:AG43" si="11">AVERAGE(AF33:AF42)</f>
        <v>1.1687747164670694E-2</v>
      </c>
      <c r="AG43" s="180">
        <f t="shared" si="11"/>
        <v>1.7107812207885358E-2</v>
      </c>
      <c r="AH43" s="180">
        <f>AVERAGE(AH33:AH42)</f>
        <v>1.561192152909509E-2</v>
      </c>
    </row>
    <row r="44" spans="1:34" s="15" customFormat="1" ht="12.75" x14ac:dyDescent="0.2">
      <c r="A44" s="6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127"/>
      <c r="S44" s="68"/>
      <c r="T44" s="9"/>
      <c r="U44" s="9"/>
      <c r="V44" s="9"/>
      <c r="W44" s="9"/>
      <c r="X44" s="9"/>
      <c r="Y44" s="9"/>
      <c r="Z44" s="9"/>
      <c r="AA44" s="181"/>
      <c r="AB44" s="9"/>
      <c r="AC44" s="9"/>
      <c r="AD44" s="181"/>
      <c r="AE44" s="181"/>
      <c r="AF44" s="181"/>
      <c r="AG44" s="181"/>
      <c r="AH44" s="18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3"/>
  <sheetViews>
    <sheetView workbookViewId="0">
      <selection activeCell="L31" sqref="L31"/>
    </sheetView>
  </sheetViews>
  <sheetFormatPr baseColWidth="10" defaultRowHeight="15" x14ac:dyDescent="0.25"/>
  <cols>
    <col min="1" max="1" width="5.7109375" customWidth="1"/>
    <col min="2" max="16" width="8.42578125" style="2" customWidth="1"/>
    <col min="17" max="17" width="1.7109375" style="3" customWidth="1"/>
    <col min="18" max="18" width="5.140625" style="4" customWidth="1"/>
    <col min="19" max="31" width="8.42578125" style="4" customWidth="1"/>
    <col min="32" max="33" width="8.42578125" style="2" customWidth="1"/>
    <col min="34" max="34" width="1.42578125" style="4" customWidth="1"/>
    <col min="35" max="35" width="5.140625" style="4" customWidth="1"/>
    <col min="36" max="48" width="8.42578125" style="4" customWidth="1"/>
    <col min="49" max="50" width="8.42578125" style="2" customWidth="1"/>
  </cols>
  <sheetData>
    <row r="1" spans="1:50" ht="18.75" x14ac:dyDescent="0.3">
      <c r="A1" s="1" t="s">
        <v>0</v>
      </c>
    </row>
    <row r="2" spans="1:50" ht="7.5" customHeight="1" x14ac:dyDescent="0.3">
      <c r="A2" s="1"/>
    </row>
    <row r="3" spans="1:50" ht="15.75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8" t="s">
        <v>2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6"/>
      <c r="AG3" s="6"/>
      <c r="AH3" s="10"/>
      <c r="AI3" s="8" t="s">
        <v>3</v>
      </c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6"/>
      <c r="AX3" s="6"/>
    </row>
    <row r="4" spans="1:50" s="15" customFormat="1" ht="33.75" x14ac:dyDescent="0.2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3"/>
      <c r="R4" s="11" t="s">
        <v>4</v>
      </c>
      <c r="S4" s="12" t="s">
        <v>5</v>
      </c>
      <c r="T4" s="12" t="s">
        <v>6</v>
      </c>
      <c r="U4" s="12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12" t="s">
        <v>12</v>
      </c>
      <c r="AA4" s="12" t="s">
        <v>13</v>
      </c>
      <c r="AB4" s="12" t="s">
        <v>14</v>
      </c>
      <c r="AC4" s="12" t="s">
        <v>15</v>
      </c>
      <c r="AD4" s="12" t="s">
        <v>16</v>
      </c>
      <c r="AE4" s="12" t="s">
        <v>17</v>
      </c>
      <c r="AF4" s="12" t="s">
        <v>18</v>
      </c>
      <c r="AG4" s="12" t="s">
        <v>19</v>
      </c>
      <c r="AH4" s="14"/>
      <c r="AI4" s="11" t="s">
        <v>4</v>
      </c>
      <c r="AJ4" s="12" t="s">
        <v>5</v>
      </c>
      <c r="AK4" s="12" t="s">
        <v>6</v>
      </c>
      <c r="AL4" s="12" t="s">
        <v>7</v>
      </c>
      <c r="AM4" s="12" t="s">
        <v>8</v>
      </c>
      <c r="AN4" s="12" t="s">
        <v>9</v>
      </c>
      <c r="AO4" s="12" t="s">
        <v>10</v>
      </c>
      <c r="AP4" s="12" t="s">
        <v>11</v>
      </c>
      <c r="AQ4" s="12" t="s">
        <v>12</v>
      </c>
      <c r="AR4" s="12" t="s">
        <v>13</v>
      </c>
      <c r="AS4" s="12" t="s">
        <v>14</v>
      </c>
      <c r="AT4" s="12" t="s">
        <v>15</v>
      </c>
      <c r="AU4" s="12" t="s">
        <v>16</v>
      </c>
      <c r="AV4" s="12" t="s">
        <v>17</v>
      </c>
      <c r="AW4" s="12" t="s">
        <v>18</v>
      </c>
      <c r="AX4" s="12" t="s">
        <v>19</v>
      </c>
    </row>
    <row r="5" spans="1:50" s="15" customFormat="1" ht="12.75" x14ac:dyDescent="0.2">
      <c r="A5" s="16">
        <v>2018</v>
      </c>
      <c r="B5" s="17">
        <f t="shared" ref="B5:P14" si="0">S5/AJ5</f>
        <v>7.0000000000000007E-2</v>
      </c>
      <c r="C5" s="18">
        <f t="shared" si="0"/>
        <v>4.6666666666666669E-2</v>
      </c>
      <c r="D5" s="18">
        <f t="shared" si="0"/>
        <v>2.6923076923076925E-2</v>
      </c>
      <c r="E5" s="18">
        <f t="shared" si="0"/>
        <v>2.3333333333333334E-2</v>
      </c>
      <c r="F5" s="17">
        <f t="shared" si="0"/>
        <v>6.8000000000000005E-2</v>
      </c>
      <c r="G5" s="18">
        <f t="shared" si="0"/>
        <v>6.8000000000000005E-2</v>
      </c>
      <c r="H5" s="17">
        <f t="shared" si="0"/>
        <v>8.3999999999999991E-2</v>
      </c>
      <c r="I5" s="18"/>
      <c r="J5" s="18"/>
      <c r="K5" s="18"/>
      <c r="L5" s="18"/>
      <c r="M5" s="18"/>
      <c r="N5" s="18"/>
      <c r="O5" s="18"/>
      <c r="P5" s="19"/>
      <c r="Q5" s="20"/>
      <c r="R5" s="21">
        <v>2018</v>
      </c>
      <c r="S5" s="22">
        <f>'[1]2018'!Salim</f>
        <v>0.14000000000000001</v>
      </c>
      <c r="T5" s="22">
        <f>'[2]2018'!Salim</f>
        <v>0.14000000000000001</v>
      </c>
      <c r="U5" s="22">
        <f>'[3]2018'!Salim</f>
        <v>7.0000000000000007E-2</v>
      </c>
      <c r="V5" s="22">
        <f>'[4]2018'!Salim</f>
        <v>7.0000000000000007E-2</v>
      </c>
      <c r="W5" s="22">
        <f>'[5]2018'!Salim</f>
        <v>0.17</v>
      </c>
      <c r="X5" s="22">
        <f>'[6]2018'!Salim</f>
        <v>0.17</v>
      </c>
      <c r="Y5" s="23">
        <f>'[7]2018'!Salim</f>
        <v>0.21</v>
      </c>
      <c r="Z5" s="22"/>
      <c r="AA5" s="22"/>
      <c r="AB5" s="22"/>
      <c r="AC5" s="22"/>
      <c r="AD5" s="22"/>
      <c r="AE5" s="22"/>
      <c r="AF5" s="22"/>
      <c r="AG5" s="19"/>
      <c r="AH5" s="24"/>
      <c r="AI5" s="21">
        <v>2018</v>
      </c>
      <c r="AJ5" s="25">
        <f>'[1]2018'!Tau_j/365</f>
        <v>2</v>
      </c>
      <c r="AK5" s="26">
        <f>'[2]2018'!Tau_j/365</f>
        <v>3</v>
      </c>
      <c r="AL5" s="26">
        <f>'[3]2018'!Tau_j/365</f>
        <v>2.6</v>
      </c>
      <c r="AM5" s="26">
        <f>'[4]2018'!Tau_j/365</f>
        <v>3</v>
      </c>
      <c r="AN5" s="25">
        <f>'[5]2018'!Tau_j/365</f>
        <v>2.5</v>
      </c>
      <c r="AO5" s="26">
        <f>'[6]2018'!Tau_j/365</f>
        <v>2.5</v>
      </c>
      <c r="AP5" s="25">
        <f>'[7]2018'!Tau_j/365</f>
        <v>2.5</v>
      </c>
      <c r="AQ5" s="26"/>
      <c r="AR5" s="26"/>
      <c r="AS5" s="26"/>
      <c r="AT5" s="26"/>
      <c r="AU5" s="26"/>
      <c r="AV5" s="26"/>
      <c r="AW5" s="26"/>
      <c r="AX5" s="27"/>
    </row>
    <row r="6" spans="1:50" s="15" customFormat="1" ht="12.75" x14ac:dyDescent="0.2">
      <c r="A6" s="16">
        <v>2019</v>
      </c>
      <c r="B6" s="17">
        <f t="shared" si="0"/>
        <v>7.0000000000000007E-2</v>
      </c>
      <c r="C6" s="28">
        <f t="shared" si="0"/>
        <v>0.16</v>
      </c>
      <c r="D6" s="18">
        <f t="shared" si="0"/>
        <v>2.6923076923076925E-2</v>
      </c>
      <c r="E6" s="18">
        <f t="shared" si="0"/>
        <v>2.3333333333333334E-2</v>
      </c>
      <c r="F6" s="17">
        <f t="shared" si="0"/>
        <v>6.8000000000000005E-2</v>
      </c>
      <c r="G6" s="18">
        <f t="shared" si="0"/>
        <v>6.8000000000000005E-2</v>
      </c>
      <c r="H6" s="17">
        <f t="shared" si="0"/>
        <v>8.3999999999999991E-2</v>
      </c>
      <c r="I6" s="18">
        <f t="shared" si="0"/>
        <v>2.6666666666666668E-2</v>
      </c>
      <c r="J6" s="18">
        <f t="shared" si="0"/>
        <v>3.3333333333333333E-2</v>
      </c>
      <c r="K6" s="18">
        <f t="shared" si="0"/>
        <v>0.04</v>
      </c>
      <c r="L6" s="18"/>
      <c r="M6" s="18"/>
      <c r="N6" s="18"/>
      <c r="O6" s="18"/>
      <c r="P6" s="29"/>
      <c r="Q6" s="20"/>
      <c r="R6" s="21">
        <v>2019</v>
      </c>
      <c r="S6" s="22">
        <f>'[1]2019'!Salim</f>
        <v>0.14000000000000001</v>
      </c>
      <c r="T6" s="22">
        <f>'[2]2019'!Salim</f>
        <v>0.08</v>
      </c>
      <c r="U6" s="22">
        <f>'[3]2019'!Salim</f>
        <v>7.0000000000000007E-2</v>
      </c>
      <c r="V6" s="22">
        <f>'[4]2019'!Salim</f>
        <v>7.0000000000000007E-2</v>
      </c>
      <c r="W6" s="22">
        <f>'[5]2019'!Salim</f>
        <v>0.17</v>
      </c>
      <c r="X6" s="22">
        <f>'[6]2019'!Salim</f>
        <v>0.17</v>
      </c>
      <c r="Y6" s="23">
        <f>'[7]2019'!Salim</f>
        <v>0.21</v>
      </c>
      <c r="Z6" s="22">
        <f>'[8]2019'!Salim</f>
        <v>0.08</v>
      </c>
      <c r="AA6" s="22">
        <f>'[9]2019'!Salim</f>
        <v>0.1</v>
      </c>
      <c r="AB6" s="22">
        <f>'[10]2019'!Salim</f>
        <v>0.12</v>
      </c>
      <c r="AC6" s="22"/>
      <c r="AD6" s="22"/>
      <c r="AE6" s="22"/>
      <c r="AF6" s="22"/>
      <c r="AG6" s="29"/>
      <c r="AH6" s="24"/>
      <c r="AI6" s="21">
        <v>2019</v>
      </c>
      <c r="AJ6" s="25">
        <f>'[1]2019'!Tau_j/365</f>
        <v>2</v>
      </c>
      <c r="AK6" s="30">
        <f>'[2]2019'!Tau_j/365</f>
        <v>0.5</v>
      </c>
      <c r="AL6" s="26">
        <f>'[3]2019'!Tau_j/365</f>
        <v>2.6</v>
      </c>
      <c r="AM6" s="26">
        <f>'[4]2019'!Tau_j/365</f>
        <v>3</v>
      </c>
      <c r="AN6" s="25">
        <f>'[5]2019'!Tau_j/365</f>
        <v>2.5</v>
      </c>
      <c r="AO6" s="26">
        <f>'[6]2019'!Tau_j/365</f>
        <v>2.5</v>
      </c>
      <c r="AP6" s="25">
        <f>'[7]2019'!Tau_j/365</f>
        <v>2.5</v>
      </c>
      <c r="AQ6" s="26">
        <f>'[8]2019'!Tau_j/365</f>
        <v>3</v>
      </c>
      <c r="AR6" s="26">
        <f>'[9]2019'!Tau_j/365</f>
        <v>3</v>
      </c>
      <c r="AS6" s="26">
        <f>'[10]2019'!Tau_j/365</f>
        <v>3</v>
      </c>
      <c r="AT6" s="26"/>
      <c r="AU6" s="26"/>
      <c r="AV6" s="26"/>
      <c r="AW6" s="26"/>
      <c r="AX6" s="31"/>
    </row>
    <row r="7" spans="1:50" s="15" customFormat="1" ht="12.75" x14ac:dyDescent="0.2">
      <c r="A7" s="16">
        <v>2020</v>
      </c>
      <c r="B7" s="17">
        <f t="shared" si="0"/>
        <v>7.0000000000000007E-2</v>
      </c>
      <c r="C7" s="18">
        <f t="shared" si="0"/>
        <v>0.04</v>
      </c>
      <c r="D7" s="18">
        <f t="shared" si="0"/>
        <v>2.6923076923076925E-2</v>
      </c>
      <c r="E7" s="18">
        <f t="shared" si="0"/>
        <v>3.8333333333333337E-2</v>
      </c>
      <c r="F7" s="17">
        <f t="shared" si="0"/>
        <v>6.8000000000000005E-2</v>
      </c>
      <c r="G7" s="18">
        <f t="shared" si="0"/>
        <v>6.8000000000000005E-2</v>
      </c>
      <c r="H7" s="17">
        <f t="shared" si="0"/>
        <v>0.14000000000000001</v>
      </c>
      <c r="I7" s="18">
        <f t="shared" si="0"/>
        <v>2.6666666666666668E-2</v>
      </c>
      <c r="J7" s="18">
        <f t="shared" si="0"/>
        <v>3.3333333333333333E-2</v>
      </c>
      <c r="K7" s="18">
        <f t="shared" si="0"/>
        <v>3.3333333333333333E-2</v>
      </c>
      <c r="L7" s="18">
        <f t="shared" si="0"/>
        <v>2.4999999999999998E-2</v>
      </c>
      <c r="M7" s="18">
        <f t="shared" si="0"/>
        <v>2.1666666666666667E-2</v>
      </c>
      <c r="N7" s="18">
        <f t="shared" si="0"/>
        <v>1.1666666666666667E-2</v>
      </c>
      <c r="O7" s="18"/>
      <c r="P7" s="29"/>
      <c r="Q7" s="20"/>
      <c r="R7" s="21">
        <v>2020</v>
      </c>
      <c r="S7" s="22">
        <f>'[1]2020'!Salim</f>
        <v>0.14000000000000001</v>
      </c>
      <c r="T7" s="22">
        <f>'[2]2020'!Salim</f>
        <v>0.12</v>
      </c>
      <c r="U7" s="22">
        <f>'[3]2020'!Salim</f>
        <v>7.0000000000000007E-2</v>
      </c>
      <c r="V7" s="22">
        <f>'[4]2020'!Salim</f>
        <v>0.115</v>
      </c>
      <c r="W7" s="22">
        <f>'[5]2020'!Salim</f>
        <v>0.17</v>
      </c>
      <c r="X7" s="22">
        <f>'[6]2020'!Salim</f>
        <v>0.17</v>
      </c>
      <c r="Y7" s="23">
        <f>'[7]2020'!Salim</f>
        <v>0.14000000000000001</v>
      </c>
      <c r="Z7" s="22">
        <f>'[8]2020'!Salim</f>
        <v>0.08</v>
      </c>
      <c r="AA7" s="22">
        <f>'[9]2020'!Salim</f>
        <v>0.1</v>
      </c>
      <c r="AB7" s="22">
        <f>'[10]2020'!Salim</f>
        <v>0.1</v>
      </c>
      <c r="AC7" s="22">
        <f>'[11]2020'!Salim</f>
        <v>7.4999999999999997E-2</v>
      </c>
      <c r="AD7" s="22">
        <f>'[12]2020'!Salim</f>
        <v>6.5000000000000002E-2</v>
      </c>
      <c r="AE7" s="22">
        <f>'[13]2020'!Salim</f>
        <v>3.5000000000000003E-2</v>
      </c>
      <c r="AF7" s="22"/>
      <c r="AG7" s="29"/>
      <c r="AH7" s="24"/>
      <c r="AI7" s="21">
        <v>2020</v>
      </c>
      <c r="AJ7" s="25">
        <f>'[1]2020'!Tau_j/365</f>
        <v>2</v>
      </c>
      <c r="AK7" s="26">
        <f>'[2]2020'!Tau_j/365</f>
        <v>3</v>
      </c>
      <c r="AL7" s="26">
        <f>'[3]2020'!Tau_j/365</f>
        <v>2.6</v>
      </c>
      <c r="AM7" s="26">
        <f>'[4]2020'!Tau_j/365</f>
        <v>3</v>
      </c>
      <c r="AN7" s="25">
        <f>'[5]2020'!Tau_j/365</f>
        <v>2.5</v>
      </c>
      <c r="AO7" s="26">
        <f>'[6]2020'!Tau_j/365</f>
        <v>2.5</v>
      </c>
      <c r="AP7" s="25">
        <f>'[7]2020'!Tau_j/365</f>
        <v>1</v>
      </c>
      <c r="AQ7" s="26">
        <f>'[8]2020'!Tau_j/365</f>
        <v>3</v>
      </c>
      <c r="AR7" s="26">
        <f>'[9]2020'!Tau_j/365</f>
        <v>3</v>
      </c>
      <c r="AS7" s="26">
        <f>'[10]2020'!Tau_j/365</f>
        <v>3</v>
      </c>
      <c r="AT7" s="26">
        <f>'[11]2020'!Tau_j/365</f>
        <v>3</v>
      </c>
      <c r="AU7" s="26">
        <f>'[12]2020'!Tau_j/365</f>
        <v>3</v>
      </c>
      <c r="AV7" s="26">
        <f>'[13]2020'!Tau_j/365</f>
        <v>3</v>
      </c>
      <c r="AW7" s="26"/>
      <c r="AX7" s="31"/>
    </row>
    <row r="8" spans="1:50" s="15" customFormat="1" ht="12.75" x14ac:dyDescent="0.2">
      <c r="A8" s="16">
        <v>2021</v>
      </c>
      <c r="B8" s="17">
        <f t="shared" si="0"/>
        <v>7.4999999999999997E-2</v>
      </c>
      <c r="C8" s="18">
        <f t="shared" si="0"/>
        <v>0.04</v>
      </c>
      <c r="D8" s="18">
        <f t="shared" si="0"/>
        <v>3.0769230769230767E-2</v>
      </c>
      <c r="E8" s="18">
        <f t="shared" si="0"/>
        <v>3.3333333333333333E-2</v>
      </c>
      <c r="F8" s="17">
        <f t="shared" si="0"/>
        <v>0.1</v>
      </c>
      <c r="G8" s="18">
        <f t="shared" si="0"/>
        <v>0.08</v>
      </c>
      <c r="H8" s="17">
        <f t="shared" si="0"/>
        <v>0.19999999999999998</v>
      </c>
      <c r="I8" s="28">
        <f t="shared" si="0"/>
        <v>0.14000000000000001</v>
      </c>
      <c r="J8" s="18">
        <f t="shared" si="0"/>
        <v>4.9999999999999996E-2</v>
      </c>
      <c r="K8" s="28">
        <f t="shared" si="0"/>
        <v>0.125</v>
      </c>
      <c r="L8" s="18">
        <f t="shared" si="0"/>
        <v>2.4999999999999998E-2</v>
      </c>
      <c r="M8" s="28">
        <f t="shared" si="0"/>
        <v>0.125</v>
      </c>
      <c r="N8" s="28">
        <f t="shared" si="0"/>
        <v>1.1666666666666667E-2</v>
      </c>
      <c r="O8" s="28"/>
      <c r="P8" s="29"/>
      <c r="Q8" s="20"/>
      <c r="R8" s="21">
        <v>2021</v>
      </c>
      <c r="S8" s="22">
        <f>'[1]2021'!Salim</f>
        <v>0.15</v>
      </c>
      <c r="T8" s="22">
        <f>'[2]2021'!Salim</f>
        <v>0.12</v>
      </c>
      <c r="U8" s="22">
        <f>'[3]2021'!Salim</f>
        <v>0.08</v>
      </c>
      <c r="V8" s="22">
        <f>'[4]2021'!Salim</f>
        <v>0.1</v>
      </c>
      <c r="W8" s="22">
        <f>'[5]2021'!Salim</f>
        <v>0.2</v>
      </c>
      <c r="X8" s="22">
        <f>'[6]2021'!Salim</f>
        <v>0.2</v>
      </c>
      <c r="Y8" s="23">
        <f>'[7]2021'!Salim</f>
        <v>0.16</v>
      </c>
      <c r="Z8" s="22">
        <f>'[8]2021'!Salim</f>
        <v>0.14000000000000001</v>
      </c>
      <c r="AA8" s="22">
        <f>'[9]2021'!Salim</f>
        <v>0.15</v>
      </c>
      <c r="AB8" s="22">
        <f>'[10]2021'!Salim</f>
        <v>0.15</v>
      </c>
      <c r="AC8" s="22">
        <f>'[11]2021'!Salim</f>
        <v>7.4999999999999997E-2</v>
      </c>
      <c r="AD8" s="22">
        <f>'[12]2021'!Salim</f>
        <v>0.05</v>
      </c>
      <c r="AE8" s="22">
        <f>'[13]2021'!Salim</f>
        <v>3.5000000000000003E-2</v>
      </c>
      <c r="AF8" s="22"/>
      <c r="AG8" s="29"/>
      <c r="AH8" s="24"/>
      <c r="AI8" s="21">
        <v>2021</v>
      </c>
      <c r="AJ8" s="25">
        <f>'[1]2021'!Tau_j/365</f>
        <v>2</v>
      </c>
      <c r="AK8" s="26">
        <f>'[2]2021'!Tau_j/365</f>
        <v>3</v>
      </c>
      <c r="AL8" s="26">
        <f>'[3]2021'!Tau_j/365</f>
        <v>2.6</v>
      </c>
      <c r="AM8" s="26">
        <f>'[4]2021'!Tau_j/365</f>
        <v>3</v>
      </c>
      <c r="AN8" s="25">
        <f>'[5]2021'!Tau_j/365</f>
        <v>2</v>
      </c>
      <c r="AO8" s="26">
        <f>'[6]2021'!Tau_j/365</f>
        <v>2.5</v>
      </c>
      <c r="AP8" s="25">
        <f>'[7]2021'!Tau_j/365</f>
        <v>0.8</v>
      </c>
      <c r="AQ8" s="26">
        <f>'[8]2021'!Tau_j/365</f>
        <v>1</v>
      </c>
      <c r="AR8" s="26">
        <f>'[9]2021'!Tau_j/365</f>
        <v>3</v>
      </c>
      <c r="AS8" s="26">
        <f>'[10]2021'!Tau_j/365</f>
        <v>1.2</v>
      </c>
      <c r="AT8" s="26">
        <f>'[11]2021'!Tau_j/365</f>
        <v>3</v>
      </c>
      <c r="AU8" s="26">
        <f>'[12]2021'!Tau_j/365</f>
        <v>0.4</v>
      </c>
      <c r="AV8" s="26">
        <f>'[13]2021'!Tau_j/365</f>
        <v>3</v>
      </c>
      <c r="AW8" s="26"/>
      <c r="AX8" s="31"/>
    </row>
    <row r="9" spans="1:50" s="15" customFormat="1" ht="12.75" x14ac:dyDescent="0.2">
      <c r="A9" s="16">
        <v>2022</v>
      </c>
      <c r="B9" s="17">
        <f t="shared" si="0"/>
        <v>7.4999999999999997E-2</v>
      </c>
      <c r="C9" s="28">
        <f>T9/AK9</f>
        <v>0.10588235294117647</v>
      </c>
      <c r="D9" s="18">
        <f t="shared" si="0"/>
        <v>4.6153846153846149E-2</v>
      </c>
      <c r="E9" s="18">
        <f t="shared" si="0"/>
        <v>0.05</v>
      </c>
      <c r="F9" s="17">
        <f t="shared" si="0"/>
        <v>0.12142857142857144</v>
      </c>
      <c r="G9" s="18">
        <f t="shared" si="0"/>
        <v>7.1999999999999995E-2</v>
      </c>
      <c r="H9" s="17">
        <f t="shared" si="0"/>
        <v>8.7999999999999995E-2</v>
      </c>
      <c r="I9" s="18">
        <f t="shared" si="0"/>
        <v>2.3333333333333334E-2</v>
      </c>
      <c r="J9" s="18">
        <f t="shared" si="0"/>
        <v>0.04</v>
      </c>
      <c r="K9" s="18">
        <f t="shared" si="0"/>
        <v>3.3333333333333333E-2</v>
      </c>
      <c r="L9" s="18">
        <f t="shared" si="0"/>
        <v>4.9999999999999996E-2</v>
      </c>
      <c r="M9" s="18">
        <f t="shared" si="0"/>
        <v>0.02</v>
      </c>
      <c r="N9" s="28">
        <f t="shared" si="0"/>
        <v>0.122</v>
      </c>
      <c r="O9" s="18">
        <f t="shared" si="0"/>
        <v>2.6666666666666668E-2</v>
      </c>
      <c r="P9" s="29">
        <f t="shared" si="0"/>
        <v>2.6666666666666668E-2</v>
      </c>
      <c r="Q9" s="20"/>
      <c r="R9" s="21">
        <v>2022</v>
      </c>
      <c r="S9" s="22">
        <f>'[1]2022'!Salim</f>
        <v>0.15</v>
      </c>
      <c r="T9" s="22">
        <f>'[2]2022'!Salim</f>
        <v>0.18</v>
      </c>
      <c r="U9" s="22">
        <f>'[3]2022'!Salim</f>
        <v>0.12</v>
      </c>
      <c r="V9" s="22">
        <f>'[4]2022'!Salim</f>
        <v>0.1</v>
      </c>
      <c r="W9" s="22">
        <f>'[5]2022'!Salim</f>
        <v>0.17</v>
      </c>
      <c r="X9" s="22">
        <f>'[6]2022'!Salim</f>
        <v>0.18</v>
      </c>
      <c r="Y9" s="23">
        <f>'[7]2022'!Salim</f>
        <v>0.22</v>
      </c>
      <c r="Z9" s="22">
        <f>'[8]2022'!Salim</f>
        <v>7.0000000000000007E-2</v>
      </c>
      <c r="AA9" s="22">
        <f>'[9]2022'!Salim</f>
        <v>0.08</v>
      </c>
      <c r="AB9" s="22">
        <f>'[10]2022'!Salim</f>
        <v>0.1</v>
      </c>
      <c r="AC9" s="22">
        <f>'[11]2022'!Salim</f>
        <v>0.15</v>
      </c>
      <c r="AD9" s="22">
        <f>'[12]2022'!Salim</f>
        <v>0.06</v>
      </c>
      <c r="AE9" s="22">
        <f>'[13]2022'!Salim</f>
        <v>6.0999999999999999E-2</v>
      </c>
      <c r="AF9" s="22">
        <f>'[14]2022'!Salim</f>
        <v>0.08</v>
      </c>
      <c r="AG9" s="32">
        <f>'[15]2022'!Salim</f>
        <v>0.08</v>
      </c>
      <c r="AH9" s="24"/>
      <c r="AI9" s="21">
        <v>2022</v>
      </c>
      <c r="AJ9" s="25">
        <f>'[1]2022'!Tau_j/365</f>
        <v>2</v>
      </c>
      <c r="AK9" s="26">
        <f>'[2]2022'!Tau_j/365</f>
        <v>1.7</v>
      </c>
      <c r="AL9" s="26">
        <f>'[3]2022'!Tau_j/365</f>
        <v>2.6</v>
      </c>
      <c r="AM9" s="26">
        <f>'[4]2022'!Tau_j/365</f>
        <v>2</v>
      </c>
      <c r="AN9" s="25">
        <f>'[5]2022'!Tau_j/365</f>
        <v>1.4</v>
      </c>
      <c r="AO9" s="26">
        <f>'[6]2022'!Tau_j/365</f>
        <v>2.5</v>
      </c>
      <c r="AP9" s="25">
        <f>'[7]2022'!Tau_j/365</f>
        <v>2.5</v>
      </c>
      <c r="AQ9" s="26">
        <f>'[8]2022'!Tau_j/365</f>
        <v>3</v>
      </c>
      <c r="AR9" s="26">
        <f>'[9]2022'!Tau_j/365</f>
        <v>2</v>
      </c>
      <c r="AS9" s="26">
        <f>'[10]2022'!Tau_j/365</f>
        <v>3</v>
      </c>
      <c r="AT9" s="26">
        <f>'[11]2022'!Tau_j/365</f>
        <v>3</v>
      </c>
      <c r="AU9" s="26">
        <f>'[12]2022'!Tau_j/365</f>
        <v>3</v>
      </c>
      <c r="AV9" s="26">
        <f>'[13]2022'!Tau_j/365</f>
        <v>0.5</v>
      </c>
      <c r="AW9" s="26">
        <f>'[14]2022'!Tau_j/365</f>
        <v>3</v>
      </c>
      <c r="AX9" s="31">
        <f>'[15]2022'!Tau_j/365</f>
        <v>3</v>
      </c>
    </row>
    <row r="10" spans="1:50" s="43" customFormat="1" ht="12.75" x14ac:dyDescent="0.2">
      <c r="A10" s="33">
        <v>2023</v>
      </c>
      <c r="B10" s="34">
        <f t="shared" si="0"/>
        <v>7.3333333333333334E-2</v>
      </c>
      <c r="C10" s="34">
        <f t="shared" si="0"/>
        <v>5.4545454545454536E-2</v>
      </c>
      <c r="D10" s="34">
        <f t="shared" si="0"/>
        <v>3.4615384615384617E-2</v>
      </c>
      <c r="E10" s="34">
        <f t="shared" si="0"/>
        <v>3.9375E-2</v>
      </c>
      <c r="F10" s="34">
        <f t="shared" si="0"/>
        <v>9.152542372881356E-2</v>
      </c>
      <c r="G10" s="34">
        <f t="shared" si="0"/>
        <v>7.3333333333333334E-2</v>
      </c>
      <c r="H10" s="34">
        <f t="shared" si="0"/>
        <v>0.12093023255813956</v>
      </c>
      <c r="I10" s="34">
        <f t="shared" si="0"/>
        <v>4.1428571428571433E-2</v>
      </c>
      <c r="J10" s="34">
        <f t="shared" si="0"/>
        <v>4.1249999999999995E-2</v>
      </c>
      <c r="K10" s="34">
        <f t="shared" si="0"/>
        <v>4.8611111111111105E-2</v>
      </c>
      <c r="L10" s="34">
        <f t="shared" si="0"/>
        <v>3.3333333333333333E-2</v>
      </c>
      <c r="M10" s="34">
        <f t="shared" si="0"/>
        <v>2.7343749999999997E-2</v>
      </c>
      <c r="N10" s="34">
        <f t="shared" si="0"/>
        <v>2.0153846153846154E-2</v>
      </c>
      <c r="O10" s="34">
        <f t="shared" si="0"/>
        <v>2.6666666666666668E-2</v>
      </c>
      <c r="P10" s="35">
        <f t="shared" si="0"/>
        <v>2.6666666666666668E-2</v>
      </c>
      <c r="Q10" s="36"/>
      <c r="R10" s="37">
        <v>2023</v>
      </c>
      <c r="S10" s="38">
        <f>'[1]2023'!Salim</f>
        <v>0.14666666666666667</v>
      </c>
      <c r="T10" s="38">
        <f>'[2]2023'!Salim</f>
        <v>0.13999999999999999</v>
      </c>
      <c r="U10" s="38">
        <f>'[3]2023'!Salim</f>
        <v>9.0000000000000011E-2</v>
      </c>
      <c r="V10" s="38">
        <f>'[4]2023'!Salim</f>
        <v>0.105</v>
      </c>
      <c r="W10" s="38">
        <f>'[5]2023'!Salim</f>
        <v>0.18000000000000002</v>
      </c>
      <c r="X10" s="38">
        <f>'[6]2023'!Salim</f>
        <v>0.18333333333333335</v>
      </c>
      <c r="Y10" s="38">
        <f>'[7]2023'!Salim</f>
        <v>0.17333333333333334</v>
      </c>
      <c r="Z10" s="38">
        <f>'[8]2023'!Salim</f>
        <v>9.6666666666666679E-2</v>
      </c>
      <c r="AA10" s="38">
        <f>'[9]2023'!Salim</f>
        <v>0.10999999999999999</v>
      </c>
      <c r="AB10" s="38">
        <f>'[10]2023'!Salim</f>
        <v>0.11666666666666665</v>
      </c>
      <c r="AC10" s="38">
        <f>'[11]2023'!Salim</f>
        <v>9.9999999999999992E-2</v>
      </c>
      <c r="AD10" s="38">
        <f>'[12]2023'!Salim</f>
        <v>5.8333333333333327E-2</v>
      </c>
      <c r="AE10" s="38">
        <f>'[13]2023'!Salim</f>
        <v>4.3666666666666666E-2</v>
      </c>
      <c r="AF10" s="38">
        <f>'[14]2023'!Salim</f>
        <v>0.08</v>
      </c>
      <c r="AG10" s="39">
        <f>'[15]2023'!Salim</f>
        <v>0.08</v>
      </c>
      <c r="AH10" s="40"/>
      <c r="AI10" s="37">
        <v>2023</v>
      </c>
      <c r="AJ10" s="41">
        <f>'[1]2023'!Tau_j/365</f>
        <v>2</v>
      </c>
      <c r="AK10" s="41">
        <f>'[2]2023'!Tau_j/365</f>
        <v>2.5666666666666669</v>
      </c>
      <c r="AL10" s="41">
        <f>'[3]2023'!Tau_j/365</f>
        <v>2.6</v>
      </c>
      <c r="AM10" s="41">
        <f>'[4]2023'!Tau_j/365</f>
        <v>2.6666666666666665</v>
      </c>
      <c r="AN10" s="41">
        <f>'[5]2023'!Tau_j/365</f>
        <v>1.9666666666666668</v>
      </c>
      <c r="AO10" s="41">
        <f>'[6]2023'!Tau_j/365</f>
        <v>2.5</v>
      </c>
      <c r="AP10" s="41">
        <f>'[7]2023'!Tau_j/365</f>
        <v>1.4333333333333331</v>
      </c>
      <c r="AQ10" s="41">
        <f>'[8]2023'!Tau_j/365</f>
        <v>2.3333333333333335</v>
      </c>
      <c r="AR10" s="41">
        <f>'[9]2023'!Tau_j/365</f>
        <v>2.6666666666666665</v>
      </c>
      <c r="AS10" s="41">
        <f>'[10]2023'!Tau_j/365</f>
        <v>2.4</v>
      </c>
      <c r="AT10" s="41">
        <f>'[11]2023'!Tau_j/365</f>
        <v>3</v>
      </c>
      <c r="AU10" s="41">
        <f>'[12]2023'!Tau_j/365</f>
        <v>2.1333333333333333</v>
      </c>
      <c r="AV10" s="41">
        <f>'[13]2023'!Tau_j/365</f>
        <v>2.1666666666666665</v>
      </c>
      <c r="AW10" s="41">
        <f>'[14]2023'!Tau_j/365</f>
        <v>3</v>
      </c>
      <c r="AX10" s="42">
        <f>'[15]2023'!Tau_j/365</f>
        <v>3</v>
      </c>
    </row>
    <row r="11" spans="1:50" s="43" customFormat="1" ht="12.75" x14ac:dyDescent="0.2">
      <c r="A11" s="33">
        <v>2024</v>
      </c>
      <c r="B11" s="34">
        <f t="shared" si="0"/>
        <v>7.3333333333333334E-2</v>
      </c>
      <c r="C11" s="34">
        <f t="shared" si="0"/>
        <v>5.4545454545454536E-2</v>
      </c>
      <c r="D11" s="34">
        <f t="shared" si="0"/>
        <v>3.4615384615384617E-2</v>
      </c>
      <c r="E11" s="34">
        <f t="shared" si="0"/>
        <v>3.9375E-2</v>
      </c>
      <c r="F11" s="34">
        <f t="shared" si="0"/>
        <v>9.152542372881356E-2</v>
      </c>
      <c r="G11" s="34">
        <f t="shared" si="0"/>
        <v>7.3333333333333334E-2</v>
      </c>
      <c r="H11" s="34">
        <f t="shared" si="0"/>
        <v>0.12093023255813956</v>
      </c>
      <c r="I11" s="34">
        <f t="shared" si="0"/>
        <v>4.1428571428571433E-2</v>
      </c>
      <c r="J11" s="34">
        <f t="shared" si="0"/>
        <v>4.1249999999999995E-2</v>
      </c>
      <c r="K11" s="34">
        <f t="shared" si="0"/>
        <v>4.8611111111111105E-2</v>
      </c>
      <c r="L11" s="34">
        <f t="shared" si="0"/>
        <v>3.3333333333333333E-2</v>
      </c>
      <c r="M11" s="34">
        <f t="shared" si="0"/>
        <v>2.7343749999999997E-2</v>
      </c>
      <c r="N11" s="34">
        <f t="shared" si="0"/>
        <v>2.0153846153846154E-2</v>
      </c>
      <c r="O11" s="34">
        <f t="shared" si="0"/>
        <v>2.6666666666666668E-2</v>
      </c>
      <c r="P11" s="35">
        <f t="shared" si="0"/>
        <v>2.6666666666666668E-2</v>
      </c>
      <c r="Q11" s="36"/>
      <c r="R11" s="37">
        <v>2024</v>
      </c>
      <c r="S11" s="38">
        <f>'[1]2024'!Salim</f>
        <v>0.14666666666666667</v>
      </c>
      <c r="T11" s="38">
        <f>'[2]2024'!Salim</f>
        <v>0.13999999999999999</v>
      </c>
      <c r="U11" s="38">
        <f>'[3]2024'!Salim</f>
        <v>9.0000000000000011E-2</v>
      </c>
      <c r="V11" s="38">
        <f>'[4]2024'!Salim</f>
        <v>0.105</v>
      </c>
      <c r="W11" s="38">
        <f>'[5]2024'!Salim</f>
        <v>0.18000000000000002</v>
      </c>
      <c r="X11" s="38">
        <f>'[6]2024'!Salim</f>
        <v>0.18333333333333335</v>
      </c>
      <c r="Y11" s="38">
        <f>'[7]2024'!Salim</f>
        <v>0.17333333333333334</v>
      </c>
      <c r="Z11" s="38">
        <f>'[8]2024'!Salim</f>
        <v>9.6666666666666679E-2</v>
      </c>
      <c r="AA11" s="38">
        <f>'[9]2024'!Salim</f>
        <v>0.10999999999999999</v>
      </c>
      <c r="AB11" s="38">
        <f>'[10]2024'!Salim</f>
        <v>0.11666666666666665</v>
      </c>
      <c r="AC11" s="38">
        <f>'[11]2024'!Salim</f>
        <v>9.9999999999999992E-2</v>
      </c>
      <c r="AD11" s="38">
        <f>'[12]2024'!Salim</f>
        <v>5.8333333333333327E-2</v>
      </c>
      <c r="AE11" s="38">
        <f>'[13]2024'!Salim</f>
        <v>4.3666666666666666E-2</v>
      </c>
      <c r="AF11" s="38">
        <f>'[14]2024'!Salim</f>
        <v>0.08</v>
      </c>
      <c r="AG11" s="39">
        <f>'[15]2024'!Salim</f>
        <v>0.08</v>
      </c>
      <c r="AH11" s="40"/>
      <c r="AI11" s="37">
        <v>2024</v>
      </c>
      <c r="AJ11" s="41">
        <f>'[1]2024'!Tau_j/365</f>
        <v>2</v>
      </c>
      <c r="AK11" s="41">
        <f>'[2]2024'!Tau_j/365</f>
        <v>2.5666666666666669</v>
      </c>
      <c r="AL11" s="41">
        <f>'[3]2024'!Tau_j/365</f>
        <v>2.6</v>
      </c>
      <c r="AM11" s="41">
        <f>'[4]2024'!Tau_j/365</f>
        <v>2.6666666666666665</v>
      </c>
      <c r="AN11" s="41">
        <f>'[5]2024'!Tau_j/365</f>
        <v>1.9666666666666668</v>
      </c>
      <c r="AO11" s="41">
        <f>'[6]2024'!Tau_j/365</f>
        <v>2.5</v>
      </c>
      <c r="AP11" s="41">
        <f>'[7]2024'!Tau_j/365</f>
        <v>1.4333333333333331</v>
      </c>
      <c r="AQ11" s="41">
        <f>'[8]2024'!Tau_j/365</f>
        <v>2.3333333333333335</v>
      </c>
      <c r="AR11" s="41">
        <f>'[9]2024'!Tau_j/365</f>
        <v>2.6666666666666665</v>
      </c>
      <c r="AS11" s="41">
        <f>'[10]2024'!Tau_j/365</f>
        <v>2.4</v>
      </c>
      <c r="AT11" s="41">
        <f>'[11]2024'!Tau_j/365</f>
        <v>3</v>
      </c>
      <c r="AU11" s="41">
        <f>'[12]2024'!Tau_j/365</f>
        <v>2.1333333333333333</v>
      </c>
      <c r="AV11" s="41">
        <f>'[13]2024'!Tau_j/365</f>
        <v>2.1666666666666665</v>
      </c>
      <c r="AW11" s="41">
        <f>'[14]2024'!Tau_j/365</f>
        <v>3</v>
      </c>
      <c r="AX11" s="42">
        <f>'[15]2024'!Tau_j/365</f>
        <v>3</v>
      </c>
    </row>
    <row r="12" spans="1:50" s="43" customFormat="1" ht="12.75" x14ac:dyDescent="0.2">
      <c r="A12" s="33">
        <v>2025</v>
      </c>
      <c r="B12" s="34">
        <f t="shared" si="0"/>
        <v>7.3333333333333334E-2</v>
      </c>
      <c r="C12" s="34">
        <f t="shared" si="0"/>
        <v>5.4545454545454536E-2</v>
      </c>
      <c r="D12" s="34">
        <f t="shared" si="0"/>
        <v>3.4615384615384617E-2</v>
      </c>
      <c r="E12" s="34">
        <f t="shared" si="0"/>
        <v>3.9375E-2</v>
      </c>
      <c r="F12" s="34">
        <f t="shared" si="0"/>
        <v>9.152542372881356E-2</v>
      </c>
      <c r="G12" s="34">
        <f t="shared" si="0"/>
        <v>7.3333333333333334E-2</v>
      </c>
      <c r="H12" s="34">
        <f t="shared" si="0"/>
        <v>0.12093023255813956</v>
      </c>
      <c r="I12" s="34">
        <f t="shared" si="0"/>
        <v>4.1428571428571433E-2</v>
      </c>
      <c r="J12" s="34">
        <f t="shared" si="0"/>
        <v>4.1249999999999995E-2</v>
      </c>
      <c r="K12" s="34">
        <f t="shared" si="0"/>
        <v>4.8611111111111105E-2</v>
      </c>
      <c r="L12" s="34">
        <f t="shared" si="0"/>
        <v>3.3333333333333333E-2</v>
      </c>
      <c r="M12" s="34">
        <f t="shared" si="0"/>
        <v>2.7343749999999997E-2</v>
      </c>
      <c r="N12" s="34">
        <f t="shared" si="0"/>
        <v>2.0153846153846154E-2</v>
      </c>
      <c r="O12" s="34">
        <f t="shared" si="0"/>
        <v>2.6666666666666668E-2</v>
      </c>
      <c r="P12" s="35">
        <f t="shared" si="0"/>
        <v>2.6666666666666668E-2</v>
      </c>
      <c r="Q12" s="36"/>
      <c r="R12" s="37">
        <v>2025</v>
      </c>
      <c r="S12" s="38">
        <f>'[1]2025'!Salim</f>
        <v>0.14666666666666667</v>
      </c>
      <c r="T12" s="38">
        <f>'[2]2025'!Salim</f>
        <v>0.13999999999999999</v>
      </c>
      <c r="U12" s="38">
        <f>'[3]2025'!Salim</f>
        <v>9.0000000000000011E-2</v>
      </c>
      <c r="V12" s="38">
        <f>'[4]2025'!Salim</f>
        <v>0.105</v>
      </c>
      <c r="W12" s="38">
        <f>'[5]2025'!Salim</f>
        <v>0.18000000000000002</v>
      </c>
      <c r="X12" s="38">
        <f>'[6]2025'!Salim</f>
        <v>0.18333333333333335</v>
      </c>
      <c r="Y12" s="38">
        <f>'[7]2025'!Salim</f>
        <v>0.17333333333333334</v>
      </c>
      <c r="Z12" s="38">
        <f>'[8]2025'!Salim</f>
        <v>9.6666666666666679E-2</v>
      </c>
      <c r="AA12" s="38">
        <f>'[9]2025'!Salim</f>
        <v>0.10999999999999999</v>
      </c>
      <c r="AB12" s="38">
        <f>'[10]2025'!Salim</f>
        <v>0.11666666666666665</v>
      </c>
      <c r="AC12" s="38">
        <f>'[11]2025'!Salim</f>
        <v>9.9999999999999992E-2</v>
      </c>
      <c r="AD12" s="38">
        <f>'[12]2025'!Salim</f>
        <v>5.8333333333333327E-2</v>
      </c>
      <c r="AE12" s="38">
        <f>'[13]2025'!Salim</f>
        <v>4.3666666666666666E-2</v>
      </c>
      <c r="AF12" s="38">
        <f>'[14]2025'!Salim</f>
        <v>0.08</v>
      </c>
      <c r="AG12" s="39">
        <f>'[15]2025'!Salim</f>
        <v>0.08</v>
      </c>
      <c r="AH12" s="40"/>
      <c r="AI12" s="37">
        <v>2025</v>
      </c>
      <c r="AJ12" s="41">
        <f>'[1]2025'!Tau_j/365</f>
        <v>2</v>
      </c>
      <c r="AK12" s="41">
        <f>'[2]2025'!Tau_j/365</f>
        <v>2.5666666666666669</v>
      </c>
      <c r="AL12" s="41">
        <f>'[3]2025'!Tau_j/365</f>
        <v>2.6</v>
      </c>
      <c r="AM12" s="41">
        <f>'[4]2025'!Tau_j/365</f>
        <v>2.6666666666666665</v>
      </c>
      <c r="AN12" s="41">
        <f>'[5]2025'!Tau_j/365</f>
        <v>1.9666666666666668</v>
      </c>
      <c r="AO12" s="41">
        <f>'[6]2025'!Tau_j/365</f>
        <v>2.5</v>
      </c>
      <c r="AP12" s="41">
        <f>'[7]2025'!Tau_j/365</f>
        <v>1.4333333333333331</v>
      </c>
      <c r="AQ12" s="41">
        <f>'[8]2025'!Tau_j/365</f>
        <v>2.3333333333333335</v>
      </c>
      <c r="AR12" s="41">
        <f>'[9]2025'!Tau_j/365</f>
        <v>2.6666666666666665</v>
      </c>
      <c r="AS12" s="41">
        <f>'[10]2025'!Tau_j/365</f>
        <v>2.4</v>
      </c>
      <c r="AT12" s="41">
        <f>'[11]2025'!Tau_j/365</f>
        <v>3</v>
      </c>
      <c r="AU12" s="41">
        <f>'[12]2025'!Tau_j/365</f>
        <v>2.1333333333333333</v>
      </c>
      <c r="AV12" s="41">
        <f>'[13]2025'!Tau_j/365</f>
        <v>2.1666666666666665</v>
      </c>
      <c r="AW12" s="41">
        <f>'[14]2025'!Tau_j/365</f>
        <v>3</v>
      </c>
      <c r="AX12" s="42">
        <f>'[15]2025'!Tau_j/365</f>
        <v>3</v>
      </c>
    </row>
    <row r="13" spans="1:50" s="43" customFormat="1" ht="12.75" x14ac:dyDescent="0.2">
      <c r="A13" s="33">
        <v>2026</v>
      </c>
      <c r="B13" s="34">
        <f t="shared" si="0"/>
        <v>7.3333333333333334E-2</v>
      </c>
      <c r="C13" s="34">
        <f t="shared" si="0"/>
        <v>5.4545454545454536E-2</v>
      </c>
      <c r="D13" s="34">
        <f t="shared" si="0"/>
        <v>3.4615384615384617E-2</v>
      </c>
      <c r="E13" s="34">
        <f t="shared" si="0"/>
        <v>3.9375E-2</v>
      </c>
      <c r="F13" s="34">
        <f t="shared" si="0"/>
        <v>9.152542372881356E-2</v>
      </c>
      <c r="G13" s="34">
        <f t="shared" si="0"/>
        <v>7.3333333333333334E-2</v>
      </c>
      <c r="H13" s="34">
        <f t="shared" si="0"/>
        <v>0.12093023255813956</v>
      </c>
      <c r="I13" s="34">
        <f t="shared" si="0"/>
        <v>4.1428571428571433E-2</v>
      </c>
      <c r="J13" s="34">
        <f t="shared" si="0"/>
        <v>4.1249999999999995E-2</v>
      </c>
      <c r="K13" s="34">
        <f t="shared" si="0"/>
        <v>4.8611111111111105E-2</v>
      </c>
      <c r="L13" s="34">
        <f t="shared" si="0"/>
        <v>3.3333333333333333E-2</v>
      </c>
      <c r="M13" s="34">
        <f t="shared" si="0"/>
        <v>2.7343749999999997E-2</v>
      </c>
      <c r="N13" s="34">
        <f t="shared" si="0"/>
        <v>2.0153846153846154E-2</v>
      </c>
      <c r="O13" s="34">
        <f t="shared" si="0"/>
        <v>2.6666666666666668E-2</v>
      </c>
      <c r="P13" s="35">
        <f t="shared" si="0"/>
        <v>2.6666666666666668E-2</v>
      </c>
      <c r="Q13" s="36"/>
      <c r="R13" s="37">
        <v>2026</v>
      </c>
      <c r="S13" s="38">
        <f>'[1]2026'!Salim</f>
        <v>0.14666666666666667</v>
      </c>
      <c r="T13" s="38">
        <f>'[2]2026'!Salim</f>
        <v>0.13999999999999999</v>
      </c>
      <c r="U13" s="38">
        <f>'[3]2026'!Salim</f>
        <v>9.0000000000000011E-2</v>
      </c>
      <c r="V13" s="38">
        <f>'[4]2026'!Salim</f>
        <v>0.105</v>
      </c>
      <c r="W13" s="38">
        <f>'[5]2026'!Salim</f>
        <v>0.18000000000000002</v>
      </c>
      <c r="X13" s="38">
        <f>'[6]2026'!Salim</f>
        <v>0.18333333333333335</v>
      </c>
      <c r="Y13" s="38">
        <f>'[7]2026'!Salim</f>
        <v>0.17333333333333334</v>
      </c>
      <c r="Z13" s="38">
        <f>'[8]2026'!Salim</f>
        <v>9.6666666666666679E-2</v>
      </c>
      <c r="AA13" s="38">
        <f>'[9]2026'!Salim</f>
        <v>0.10999999999999999</v>
      </c>
      <c r="AB13" s="38">
        <f>'[10]2026'!Salim</f>
        <v>0.11666666666666665</v>
      </c>
      <c r="AC13" s="38">
        <f>'[11]2026'!Salim</f>
        <v>9.9999999999999992E-2</v>
      </c>
      <c r="AD13" s="38">
        <f>'[12]2026'!Salim</f>
        <v>5.8333333333333327E-2</v>
      </c>
      <c r="AE13" s="38">
        <f>'[13]2026'!Salim</f>
        <v>4.3666666666666666E-2</v>
      </c>
      <c r="AF13" s="38">
        <f>'[14]2026'!Salim</f>
        <v>0.08</v>
      </c>
      <c r="AG13" s="39">
        <f>'[15]2026'!Salim</f>
        <v>0.08</v>
      </c>
      <c r="AH13" s="40"/>
      <c r="AI13" s="37">
        <v>2026</v>
      </c>
      <c r="AJ13" s="41">
        <f>'[1]2026'!Tau_j/365</f>
        <v>2</v>
      </c>
      <c r="AK13" s="41">
        <f>'[2]2026'!Tau_j/365</f>
        <v>2.5666666666666669</v>
      </c>
      <c r="AL13" s="41">
        <f>'[3]2026'!Tau_j/365</f>
        <v>2.6</v>
      </c>
      <c r="AM13" s="41">
        <f>'[4]2026'!Tau_j/365</f>
        <v>2.6666666666666665</v>
      </c>
      <c r="AN13" s="41">
        <f>'[5]2026'!Tau_j/365</f>
        <v>1.9666666666666668</v>
      </c>
      <c r="AO13" s="41">
        <f>'[6]2026'!Tau_j/365</f>
        <v>2.5</v>
      </c>
      <c r="AP13" s="41">
        <f>'[7]2026'!Tau_j/365</f>
        <v>1.4333333333333331</v>
      </c>
      <c r="AQ13" s="41">
        <f>'[8]2026'!Tau_j/365</f>
        <v>2.3333333333333335</v>
      </c>
      <c r="AR13" s="41">
        <f>'[9]2026'!Tau_j/365</f>
        <v>2.6666666666666665</v>
      </c>
      <c r="AS13" s="41">
        <f>'[10]2026'!Tau_j/365</f>
        <v>2.4</v>
      </c>
      <c r="AT13" s="41">
        <f>'[11]2026'!Tau_j/365</f>
        <v>3</v>
      </c>
      <c r="AU13" s="41">
        <f>'[12]2026'!Tau_j/365</f>
        <v>2.1333333333333333</v>
      </c>
      <c r="AV13" s="41">
        <f>'[13]2026'!Tau_j/365</f>
        <v>2.1666666666666665</v>
      </c>
      <c r="AW13" s="41">
        <f>'[14]2026'!Tau_j/365</f>
        <v>3</v>
      </c>
      <c r="AX13" s="42">
        <f>'[15]2026'!Tau_j/365</f>
        <v>3</v>
      </c>
    </row>
    <row r="14" spans="1:50" s="43" customFormat="1" ht="12.75" x14ac:dyDescent="0.2">
      <c r="A14" s="44">
        <v>2027</v>
      </c>
      <c r="B14" s="45">
        <f t="shared" si="0"/>
        <v>7.3333333333333334E-2</v>
      </c>
      <c r="C14" s="45">
        <f t="shared" si="0"/>
        <v>5.4545454545454536E-2</v>
      </c>
      <c r="D14" s="45">
        <f t="shared" si="0"/>
        <v>3.4615384615384617E-2</v>
      </c>
      <c r="E14" s="45">
        <f t="shared" si="0"/>
        <v>3.9375E-2</v>
      </c>
      <c r="F14" s="45">
        <f t="shared" si="0"/>
        <v>9.152542372881356E-2</v>
      </c>
      <c r="G14" s="45">
        <f t="shared" si="0"/>
        <v>7.3333333333333334E-2</v>
      </c>
      <c r="H14" s="45">
        <f t="shared" si="0"/>
        <v>0.12093023255813956</v>
      </c>
      <c r="I14" s="45">
        <f t="shared" si="0"/>
        <v>4.1428571428571433E-2</v>
      </c>
      <c r="J14" s="45">
        <f t="shared" si="0"/>
        <v>4.1249999999999995E-2</v>
      </c>
      <c r="K14" s="45">
        <f t="shared" si="0"/>
        <v>4.8611111111111105E-2</v>
      </c>
      <c r="L14" s="45">
        <f t="shared" si="0"/>
        <v>3.3333333333333333E-2</v>
      </c>
      <c r="M14" s="45">
        <f t="shared" si="0"/>
        <v>2.7343749999999997E-2</v>
      </c>
      <c r="N14" s="45">
        <f t="shared" si="0"/>
        <v>2.0153846153846154E-2</v>
      </c>
      <c r="O14" s="45">
        <f t="shared" si="0"/>
        <v>2.6666666666666668E-2</v>
      </c>
      <c r="P14" s="46">
        <f t="shared" si="0"/>
        <v>2.6666666666666668E-2</v>
      </c>
      <c r="Q14" s="36"/>
      <c r="R14" s="47">
        <v>2027</v>
      </c>
      <c r="S14" s="48">
        <f>'[1]2027'!Salim</f>
        <v>0.14666666666666667</v>
      </c>
      <c r="T14" s="48">
        <f>'[2]2027'!Salim</f>
        <v>0.13999999999999999</v>
      </c>
      <c r="U14" s="48">
        <f>'[3]2027'!Salim</f>
        <v>9.0000000000000011E-2</v>
      </c>
      <c r="V14" s="48">
        <f>'[4]2027'!Salim</f>
        <v>0.105</v>
      </c>
      <c r="W14" s="48">
        <f>'[5]2027'!Salim</f>
        <v>0.18000000000000002</v>
      </c>
      <c r="X14" s="48">
        <f>'[6]2027'!Salim</f>
        <v>0.18333333333333335</v>
      </c>
      <c r="Y14" s="48">
        <f>'[7]2027'!Salim</f>
        <v>0.17333333333333334</v>
      </c>
      <c r="Z14" s="48">
        <f>'[8]2027'!Salim</f>
        <v>9.6666666666666679E-2</v>
      </c>
      <c r="AA14" s="48">
        <f>'[9]2027'!Salim</f>
        <v>0.10999999999999999</v>
      </c>
      <c r="AB14" s="48">
        <f>'[10]2027'!Salim</f>
        <v>0.11666666666666665</v>
      </c>
      <c r="AC14" s="48">
        <f>'[11]2027'!Salim</f>
        <v>9.9999999999999992E-2</v>
      </c>
      <c r="AD14" s="48">
        <f>'[12]2027'!Salim</f>
        <v>5.8333333333333327E-2</v>
      </c>
      <c r="AE14" s="48">
        <f>'[13]2027'!Salim</f>
        <v>4.3666666666666666E-2</v>
      </c>
      <c r="AF14" s="48">
        <f>'[14]2027'!Salim</f>
        <v>0.08</v>
      </c>
      <c r="AG14" s="49">
        <f>'[15]2027'!Salim</f>
        <v>0.08</v>
      </c>
      <c r="AH14" s="40"/>
      <c r="AI14" s="47">
        <v>2027</v>
      </c>
      <c r="AJ14" s="50">
        <f>'[1]2027'!Tau_j/365</f>
        <v>2</v>
      </c>
      <c r="AK14" s="50">
        <f>'[2]2027'!Tau_j/365</f>
        <v>2.5666666666666669</v>
      </c>
      <c r="AL14" s="50">
        <f>'[3]2027'!Tau_j/365</f>
        <v>2.6</v>
      </c>
      <c r="AM14" s="50">
        <f>'[4]2027'!Tau_j/365</f>
        <v>2.6666666666666665</v>
      </c>
      <c r="AN14" s="50">
        <f>'[5]2027'!Tau_j/365</f>
        <v>1.9666666666666668</v>
      </c>
      <c r="AO14" s="50">
        <f>'[6]2027'!Tau_j/365</f>
        <v>2.5</v>
      </c>
      <c r="AP14" s="50">
        <f>'[7]2027'!Tau_j/365</f>
        <v>1.4333333333333331</v>
      </c>
      <c r="AQ14" s="50">
        <f>'[8]2027'!Tau_j/365</f>
        <v>2.3333333333333335</v>
      </c>
      <c r="AR14" s="50">
        <f>'[9]2027'!Tau_j/365</f>
        <v>2.6666666666666665</v>
      </c>
      <c r="AS14" s="50">
        <f>'[10]2027'!Tau_j/365</f>
        <v>2.4</v>
      </c>
      <c r="AT14" s="50">
        <f>'[11]2027'!Tau_j/365</f>
        <v>3</v>
      </c>
      <c r="AU14" s="50">
        <f>'[12]2027'!Tau_j/365</f>
        <v>2.1333333333333333</v>
      </c>
      <c r="AV14" s="50">
        <f>'[13]2027'!Tau_j/365</f>
        <v>2.1666666666666665</v>
      </c>
      <c r="AW14" s="50">
        <f>'[14]2027'!Tau_j/365</f>
        <v>3</v>
      </c>
      <c r="AX14" s="51">
        <f>'[15]2027'!Tau_j/365</f>
        <v>3</v>
      </c>
    </row>
    <row r="15" spans="1:50" ht="7.5" customHeight="1" x14ac:dyDescent="0.3">
      <c r="A15" s="1"/>
      <c r="R15" s="52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4"/>
      <c r="AW15" s="4"/>
      <c r="AX15" s="4"/>
    </row>
    <row r="16" spans="1:50" ht="15.75" x14ac:dyDescent="0.25">
      <c r="A16" s="55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56" t="s">
        <v>21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0"/>
      <c r="AI16" s="56" t="s">
        <v>22</v>
      </c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</row>
    <row r="17" spans="1:50" s="15" customFormat="1" ht="33.75" x14ac:dyDescent="0.2">
      <c r="A17" s="11" t="s">
        <v>4</v>
      </c>
      <c r="B17" s="12" t="s">
        <v>5</v>
      </c>
      <c r="C17" s="12" t="s">
        <v>6</v>
      </c>
      <c r="D17" s="12" t="s">
        <v>7</v>
      </c>
      <c r="E17" s="12" t="s">
        <v>8</v>
      </c>
      <c r="F17" s="12" t="s">
        <v>9</v>
      </c>
      <c r="G17" s="12" t="s">
        <v>10</v>
      </c>
      <c r="H17" s="12" t="s">
        <v>11</v>
      </c>
      <c r="I17" s="12" t="s">
        <v>12</v>
      </c>
      <c r="J17" s="12" t="s">
        <v>13</v>
      </c>
      <c r="K17" s="12" t="s">
        <v>14</v>
      </c>
      <c r="L17" s="12" t="s">
        <v>15</v>
      </c>
      <c r="M17" s="12" t="s">
        <v>16</v>
      </c>
      <c r="N17" s="12" t="s">
        <v>17</v>
      </c>
      <c r="O17" s="12" t="s">
        <v>18</v>
      </c>
      <c r="P17" s="12" t="s">
        <v>19</v>
      </c>
      <c r="Q17" s="13"/>
      <c r="R17" s="11" t="s">
        <v>4</v>
      </c>
      <c r="S17" s="12" t="s">
        <v>5</v>
      </c>
      <c r="T17" s="12" t="s">
        <v>6</v>
      </c>
      <c r="U17" s="12" t="s">
        <v>7</v>
      </c>
      <c r="V17" s="12" t="s">
        <v>8</v>
      </c>
      <c r="W17" s="12" t="s">
        <v>9</v>
      </c>
      <c r="X17" s="12" t="s">
        <v>10</v>
      </c>
      <c r="Y17" s="12" t="s">
        <v>11</v>
      </c>
      <c r="Z17" s="12" t="s">
        <v>12</v>
      </c>
      <c r="AA17" s="12" t="s">
        <v>13</v>
      </c>
      <c r="AB17" s="12" t="s">
        <v>14</v>
      </c>
      <c r="AC17" s="12" t="s">
        <v>15</v>
      </c>
      <c r="AD17" s="12" t="s">
        <v>16</v>
      </c>
      <c r="AE17" s="12" t="s">
        <v>17</v>
      </c>
      <c r="AF17" s="12" t="s">
        <v>18</v>
      </c>
      <c r="AG17" s="12" t="s">
        <v>19</v>
      </c>
      <c r="AH17" s="14"/>
      <c r="AI17" s="11" t="s">
        <v>4</v>
      </c>
      <c r="AJ17" s="12" t="s">
        <v>5</v>
      </c>
      <c r="AK17" s="12" t="s">
        <v>6</v>
      </c>
      <c r="AL17" s="12" t="s">
        <v>7</v>
      </c>
      <c r="AM17" s="12" t="s">
        <v>8</v>
      </c>
      <c r="AN17" s="12" t="s">
        <v>9</v>
      </c>
      <c r="AO17" s="12" t="s">
        <v>10</v>
      </c>
      <c r="AP17" s="12" t="s">
        <v>11</v>
      </c>
      <c r="AQ17" s="12" t="s">
        <v>12</v>
      </c>
      <c r="AR17" s="12" t="s">
        <v>13</v>
      </c>
      <c r="AS17" s="12" t="s">
        <v>14</v>
      </c>
      <c r="AT17" s="12" t="s">
        <v>15</v>
      </c>
      <c r="AU17" s="12" t="s">
        <v>16</v>
      </c>
      <c r="AV17" s="12" t="s">
        <v>17</v>
      </c>
      <c r="AW17" s="12" t="s">
        <v>18</v>
      </c>
      <c r="AX17" s="12" t="s">
        <v>19</v>
      </c>
    </row>
    <row r="18" spans="1:50" s="68" customFormat="1" ht="12.75" x14ac:dyDescent="0.2">
      <c r="A18" s="16">
        <v>2018</v>
      </c>
      <c r="B18" s="58">
        <f t="shared" ref="B18:P27" si="1">+S18*AJ18</f>
        <v>0.35</v>
      </c>
      <c r="C18" s="58">
        <f t="shared" si="1"/>
        <v>0.35</v>
      </c>
      <c r="D18" s="58">
        <f t="shared" si="1"/>
        <v>0.15</v>
      </c>
      <c r="E18" s="58">
        <f t="shared" si="1"/>
        <v>0.25</v>
      </c>
      <c r="F18" s="59">
        <f t="shared" si="1"/>
        <v>0.48</v>
      </c>
      <c r="G18" s="58">
        <f t="shared" si="1"/>
        <v>0.28000000000000008</v>
      </c>
      <c r="H18" s="60">
        <f t="shared" si="1"/>
        <v>0.70000000000000018</v>
      </c>
      <c r="I18" s="58"/>
      <c r="J18" s="58"/>
      <c r="K18" s="58"/>
      <c r="L18" s="58"/>
      <c r="M18" s="58"/>
      <c r="N18" s="58"/>
      <c r="O18" s="58"/>
      <c r="P18" s="61"/>
      <c r="Q18" s="62"/>
      <c r="R18" s="21">
        <v>2018</v>
      </c>
      <c r="S18" s="63">
        <f>'[1]2018'!PousH</f>
        <v>0.5</v>
      </c>
      <c r="T18" s="63">
        <f>'[2]2018'!PousH</f>
        <v>0.5</v>
      </c>
      <c r="U18" s="63">
        <f>'[3]2018'!PousH</f>
        <v>0.3</v>
      </c>
      <c r="V18" s="63">
        <f>'[4]2018'!PousH</f>
        <v>0.5</v>
      </c>
      <c r="W18" s="63">
        <f>'[5]2018'!PousH</f>
        <v>0.6</v>
      </c>
      <c r="X18" s="63">
        <f>'[6]2018'!PousH</f>
        <v>0.40000000000000013</v>
      </c>
      <c r="Y18" s="63">
        <f>'[7]2018'!PousH</f>
        <v>0.70000000000000018</v>
      </c>
      <c r="Z18" s="63"/>
      <c r="AA18" s="63"/>
      <c r="AB18" s="63"/>
      <c r="AC18" s="63"/>
      <c r="AD18" s="63"/>
      <c r="AE18" s="63"/>
      <c r="AF18" s="63"/>
      <c r="AG18" s="64"/>
      <c r="AH18" s="65"/>
      <c r="AI18" s="21">
        <v>2018</v>
      </c>
      <c r="AJ18" s="66">
        <f>'[1]2018'!Df</f>
        <v>0.7</v>
      </c>
      <c r="AK18" s="66">
        <f>'[2]2018'!Df</f>
        <v>0.7</v>
      </c>
      <c r="AL18" s="66">
        <f>'[3]2018'!Df</f>
        <v>0.5</v>
      </c>
      <c r="AM18" s="66">
        <f>'[4]2018'!Df</f>
        <v>0.5</v>
      </c>
      <c r="AN18" s="66">
        <f>'[5]2018'!Df</f>
        <v>0.8</v>
      </c>
      <c r="AO18" s="66">
        <f>'[6]2018'!Df</f>
        <v>0.7</v>
      </c>
      <c r="AP18" s="66">
        <f>'[7]2018'!Df</f>
        <v>1</v>
      </c>
      <c r="AQ18" s="66"/>
      <c r="AR18" s="66"/>
      <c r="AS18" s="66"/>
      <c r="AT18" s="66"/>
      <c r="AU18" s="66"/>
      <c r="AV18" s="66"/>
      <c r="AW18" s="66"/>
      <c r="AX18" s="67"/>
    </row>
    <row r="19" spans="1:50" s="68" customFormat="1" ht="12.75" x14ac:dyDescent="0.2">
      <c r="A19" s="16">
        <v>2019</v>
      </c>
      <c r="B19" s="58">
        <f t="shared" si="1"/>
        <v>0.27921279108491615</v>
      </c>
      <c r="C19" s="58">
        <f t="shared" si="1"/>
        <v>0.35</v>
      </c>
      <c r="D19" s="58">
        <f t="shared" si="1"/>
        <v>0.15</v>
      </c>
      <c r="E19" s="58">
        <f t="shared" si="1"/>
        <v>0.25</v>
      </c>
      <c r="F19" s="59">
        <f t="shared" si="1"/>
        <v>0.48</v>
      </c>
      <c r="G19" s="58">
        <f t="shared" si="1"/>
        <v>0.28000000000000008</v>
      </c>
      <c r="H19" s="60">
        <f t="shared" si="1"/>
        <v>0.70000000000000018</v>
      </c>
      <c r="I19" s="58">
        <f t="shared" si="1"/>
        <v>0.27999999999999997</v>
      </c>
      <c r="J19" s="58"/>
      <c r="K19" s="58"/>
      <c r="L19" s="58"/>
      <c r="M19" s="58"/>
      <c r="N19" s="58"/>
      <c r="O19" s="58"/>
      <c r="P19" s="69"/>
      <c r="Q19" s="62"/>
      <c r="R19" s="21">
        <v>2019</v>
      </c>
      <c r="S19" s="63">
        <f>'[1]2019'!PousH</f>
        <v>0.39887541583559449</v>
      </c>
      <c r="T19" s="63">
        <f>'[2]2019'!PousH</f>
        <v>0.5</v>
      </c>
      <c r="U19" s="63">
        <f>'[3]2019'!PousH</f>
        <v>0.3</v>
      </c>
      <c r="V19" s="63">
        <f>'[4]2019'!PousH</f>
        <v>0.5</v>
      </c>
      <c r="W19" s="63">
        <f>'[5]2019'!PousH</f>
        <v>0.6</v>
      </c>
      <c r="X19" s="63">
        <f>'[6]2019'!PousH</f>
        <v>0.40000000000000013</v>
      </c>
      <c r="Y19" s="63">
        <f>'[7]2019'!PousH</f>
        <v>0.70000000000000018</v>
      </c>
      <c r="Z19" s="63">
        <f>'[8]2019'!PousH</f>
        <v>0.4</v>
      </c>
      <c r="AA19" s="63">
        <f>'[9]2019'!PousH</f>
        <v>0.5</v>
      </c>
      <c r="AB19" s="63">
        <f>'[10]2019'!PousH</f>
        <v>0.5</v>
      </c>
      <c r="AC19" s="63"/>
      <c r="AD19" s="63"/>
      <c r="AE19" s="63"/>
      <c r="AF19" s="63"/>
      <c r="AG19" s="70"/>
      <c r="AH19" s="65"/>
      <c r="AI19" s="21">
        <v>2019</v>
      </c>
      <c r="AJ19" s="66">
        <f>'[1]2019'!Df</f>
        <v>0.7</v>
      </c>
      <c r="AK19" s="66">
        <f>'[2]2019'!Df</f>
        <v>0.7</v>
      </c>
      <c r="AL19" s="66">
        <f>'[3]2019'!Df</f>
        <v>0.5</v>
      </c>
      <c r="AM19" s="66">
        <f>'[4]2019'!Df</f>
        <v>0.5</v>
      </c>
      <c r="AN19" s="66">
        <f>'[5]2019'!Df</f>
        <v>0.8</v>
      </c>
      <c r="AO19" s="66">
        <f>'[6]2019'!Df</f>
        <v>0.7</v>
      </c>
      <c r="AP19" s="66">
        <f>'[7]2019'!Df</f>
        <v>1</v>
      </c>
      <c r="AQ19" s="66">
        <f>'[8]2019'!Df</f>
        <v>0.7</v>
      </c>
      <c r="AR19" s="66">
        <f>'[9]2019'!Df</f>
        <v>0.6</v>
      </c>
      <c r="AS19" s="66">
        <f>'[10]2019'!Df</f>
        <v>0.6</v>
      </c>
      <c r="AT19" s="66"/>
      <c r="AU19" s="66"/>
      <c r="AV19" s="66"/>
      <c r="AW19" s="66"/>
      <c r="AX19" s="71"/>
    </row>
    <row r="20" spans="1:50" s="68" customFormat="1" ht="12.75" x14ac:dyDescent="0.2">
      <c r="A20" s="16">
        <v>2020</v>
      </c>
      <c r="B20" s="58">
        <f t="shared" si="1"/>
        <v>0.21000004329917024</v>
      </c>
      <c r="C20" s="58">
        <f t="shared" si="1"/>
        <v>0.35</v>
      </c>
      <c r="D20" s="58">
        <f t="shared" si="1"/>
        <v>0.15</v>
      </c>
      <c r="E20" s="58">
        <f t="shared" si="1"/>
        <v>0.25</v>
      </c>
      <c r="F20" s="59">
        <f t="shared" si="1"/>
        <v>0.48</v>
      </c>
      <c r="G20" s="58">
        <f t="shared" si="1"/>
        <v>0.28000000000000008</v>
      </c>
      <c r="H20" s="60">
        <f t="shared" si="1"/>
        <v>0.70000000000000018</v>
      </c>
      <c r="I20" s="58">
        <f t="shared" si="1"/>
        <v>0.27999999999999997</v>
      </c>
      <c r="J20" s="58">
        <f t="shared" si="1"/>
        <v>0.3</v>
      </c>
      <c r="K20" s="58">
        <f t="shared" si="1"/>
        <v>0.3</v>
      </c>
      <c r="L20" s="58">
        <f t="shared" si="1"/>
        <v>0.35</v>
      </c>
      <c r="M20" s="58">
        <f t="shared" si="1"/>
        <v>0.35</v>
      </c>
      <c r="N20" s="58">
        <f t="shared" si="1"/>
        <v>0.35</v>
      </c>
      <c r="O20" s="58"/>
      <c r="P20" s="69"/>
      <c r="Q20" s="62"/>
      <c r="R20" s="21">
        <v>2020</v>
      </c>
      <c r="S20" s="63">
        <f>'[1]2020'!PousH</f>
        <v>0.30000006185595751</v>
      </c>
      <c r="T20" s="63">
        <f>'[2]2020'!PousH</f>
        <v>0.5</v>
      </c>
      <c r="U20" s="63">
        <f>'[3]2020'!PousH</f>
        <v>0.3</v>
      </c>
      <c r="V20" s="63">
        <f>'[4]2020'!PousH</f>
        <v>0.5</v>
      </c>
      <c r="W20" s="63">
        <f>'[5]2020'!PousH</f>
        <v>0.6</v>
      </c>
      <c r="X20" s="63">
        <f>'[6]2020'!PousH</f>
        <v>0.40000000000000013</v>
      </c>
      <c r="Y20" s="63">
        <f>'[7]2020'!PousH</f>
        <v>0.70000000000000018</v>
      </c>
      <c r="Z20" s="63">
        <f>'[8]2020'!PousH</f>
        <v>0.4</v>
      </c>
      <c r="AA20" s="63">
        <f>'[9]2020'!PousH</f>
        <v>0.5</v>
      </c>
      <c r="AB20" s="63">
        <f>'[10]2020'!PousH</f>
        <v>0.5</v>
      </c>
      <c r="AC20" s="63">
        <f>'[11]2020'!PousH</f>
        <v>0.5</v>
      </c>
      <c r="AD20" s="63">
        <f>'[12]2020'!PousH</f>
        <v>0.5</v>
      </c>
      <c r="AE20" s="63">
        <f>'[13]2020'!PousH</f>
        <v>0.5</v>
      </c>
      <c r="AF20" s="63"/>
      <c r="AG20" s="70"/>
      <c r="AH20" s="65"/>
      <c r="AI20" s="21">
        <v>2020</v>
      </c>
      <c r="AJ20" s="66">
        <f>'[1]2020'!Df</f>
        <v>0.7</v>
      </c>
      <c r="AK20" s="66">
        <f>'[2]2020'!Df</f>
        <v>0.7</v>
      </c>
      <c r="AL20" s="66">
        <f>'[3]2020'!Df</f>
        <v>0.5</v>
      </c>
      <c r="AM20" s="66">
        <f>'[4]2020'!Df</f>
        <v>0.5</v>
      </c>
      <c r="AN20" s="66">
        <f>'[5]2020'!Df</f>
        <v>0.8</v>
      </c>
      <c r="AO20" s="66">
        <f>'[6]2020'!Df</f>
        <v>0.7</v>
      </c>
      <c r="AP20" s="66">
        <f>'[7]2020'!Df</f>
        <v>1</v>
      </c>
      <c r="AQ20" s="66">
        <f>'[8]2020'!Df</f>
        <v>0.7</v>
      </c>
      <c r="AR20" s="66">
        <f>'[9]2020'!Df</f>
        <v>0.6</v>
      </c>
      <c r="AS20" s="66">
        <f>'[10]2020'!Df</f>
        <v>0.6</v>
      </c>
      <c r="AT20" s="66">
        <f>'[11]2020'!Df</f>
        <v>0.7</v>
      </c>
      <c r="AU20" s="66">
        <f>'[12]2020'!Df</f>
        <v>0.7</v>
      </c>
      <c r="AV20" s="66">
        <f>'[13]2020'!Df</f>
        <v>0.7</v>
      </c>
      <c r="AW20" s="66"/>
      <c r="AX20" s="71"/>
    </row>
    <row r="21" spans="1:50" s="68" customFormat="1" ht="12.75" x14ac:dyDescent="0.2">
      <c r="A21" s="16">
        <v>2021</v>
      </c>
      <c r="B21" s="58">
        <f t="shared" si="1"/>
        <v>0.21000004329917024</v>
      </c>
      <c r="C21" s="58">
        <f t="shared" si="1"/>
        <v>0.35</v>
      </c>
      <c r="D21" s="58">
        <f t="shared" si="1"/>
        <v>0.15</v>
      </c>
      <c r="E21" s="58">
        <f t="shared" si="1"/>
        <v>0.25</v>
      </c>
      <c r="F21" s="59">
        <f t="shared" si="1"/>
        <v>0.48000000000000009</v>
      </c>
      <c r="G21" s="58">
        <f t="shared" si="1"/>
        <v>0.28000000000000008</v>
      </c>
      <c r="H21" s="60">
        <f t="shared" si="1"/>
        <v>0.70000000000000018</v>
      </c>
      <c r="I21" s="58">
        <f t="shared" si="1"/>
        <v>0.27999999999999997</v>
      </c>
      <c r="J21" s="58">
        <f t="shared" si="1"/>
        <v>0.3</v>
      </c>
      <c r="K21" s="58">
        <f t="shared" si="1"/>
        <v>0.3</v>
      </c>
      <c r="L21" s="58">
        <f t="shared" si="1"/>
        <v>0.35</v>
      </c>
      <c r="M21" s="58">
        <f t="shared" si="1"/>
        <v>0.35</v>
      </c>
      <c r="N21" s="58">
        <f t="shared" si="1"/>
        <v>0.35</v>
      </c>
      <c r="O21" s="58"/>
      <c r="P21" s="69"/>
      <c r="Q21" s="62"/>
      <c r="R21" s="21">
        <v>2021</v>
      </c>
      <c r="S21" s="63">
        <f>'[1]2021'!PousH</f>
        <v>0.30000006185595751</v>
      </c>
      <c r="T21" s="63">
        <f>'[2]2021'!PousH</f>
        <v>0.5</v>
      </c>
      <c r="U21" s="63">
        <f>'[3]2021'!PousH</f>
        <v>0.3</v>
      </c>
      <c r="V21" s="63">
        <f>'[4]2021'!PousH</f>
        <v>0.5</v>
      </c>
      <c r="W21" s="63">
        <f>'[5]2021'!PousH</f>
        <v>0.60000000000000009</v>
      </c>
      <c r="X21" s="63">
        <f>'[6]2021'!PousH</f>
        <v>0.40000000000000013</v>
      </c>
      <c r="Y21" s="63">
        <f>'[7]2021'!PousH</f>
        <v>0.70000000000000018</v>
      </c>
      <c r="Z21" s="63">
        <f>'[8]2021'!PousH</f>
        <v>0.4</v>
      </c>
      <c r="AA21" s="63">
        <f>'[9]2021'!PousH</f>
        <v>0.5</v>
      </c>
      <c r="AB21" s="63">
        <f>'[10]2021'!PousH</f>
        <v>0.5</v>
      </c>
      <c r="AC21" s="63">
        <f>'[11]2021'!PousH</f>
        <v>0.5</v>
      </c>
      <c r="AD21" s="63">
        <f>'[12]2021'!PousH</f>
        <v>0.5</v>
      </c>
      <c r="AE21" s="63">
        <f>'[13]2021'!PousH</f>
        <v>0.5</v>
      </c>
      <c r="AF21" s="63"/>
      <c r="AG21" s="70"/>
      <c r="AH21" s="65"/>
      <c r="AI21" s="21">
        <v>2021</v>
      </c>
      <c r="AJ21" s="66">
        <f>'[1]2021'!Df</f>
        <v>0.7</v>
      </c>
      <c r="AK21" s="66">
        <f>'[2]2021'!Df</f>
        <v>0.7</v>
      </c>
      <c r="AL21" s="66">
        <f>'[3]2021'!Df</f>
        <v>0.5</v>
      </c>
      <c r="AM21" s="66">
        <f>'[4]2021'!Df</f>
        <v>0.5</v>
      </c>
      <c r="AN21" s="66">
        <f>'[5]2021'!Df</f>
        <v>0.8</v>
      </c>
      <c r="AO21" s="66">
        <f>'[6]2021'!Df</f>
        <v>0.7</v>
      </c>
      <c r="AP21" s="66">
        <f>'[7]2021'!Df</f>
        <v>1</v>
      </c>
      <c r="AQ21" s="66">
        <f>'[8]2021'!Df</f>
        <v>0.7</v>
      </c>
      <c r="AR21" s="66">
        <f>'[9]2021'!Df</f>
        <v>0.6</v>
      </c>
      <c r="AS21" s="66">
        <f>'[10]2021'!Df</f>
        <v>0.6</v>
      </c>
      <c r="AT21" s="66">
        <f>'[11]2021'!Df</f>
        <v>0.7</v>
      </c>
      <c r="AU21" s="66">
        <f>'[12]2021'!Df</f>
        <v>0.7</v>
      </c>
      <c r="AV21" s="66">
        <f>'[13]2021'!Df</f>
        <v>0.7</v>
      </c>
      <c r="AW21" s="66"/>
      <c r="AX21" s="71"/>
    </row>
    <row r="22" spans="1:50" s="68" customFormat="1" ht="12.75" x14ac:dyDescent="0.2">
      <c r="A22" s="16">
        <v>2022</v>
      </c>
      <c r="B22" s="58">
        <f t="shared" si="1"/>
        <v>0.21000004329917024</v>
      </c>
      <c r="C22" s="58">
        <f t="shared" si="1"/>
        <v>0.35</v>
      </c>
      <c r="D22" s="58">
        <f t="shared" si="1"/>
        <v>0.15000000000000002</v>
      </c>
      <c r="E22" s="58">
        <f t="shared" si="1"/>
        <v>0.25</v>
      </c>
      <c r="F22" s="59">
        <f t="shared" si="1"/>
        <v>0.48000000000000009</v>
      </c>
      <c r="G22" s="58">
        <f t="shared" si="1"/>
        <v>0.28000000000000008</v>
      </c>
      <c r="H22" s="60">
        <f t="shared" si="1"/>
        <v>0.70000000000000018</v>
      </c>
      <c r="I22" s="58">
        <f t="shared" si="1"/>
        <v>0.27999999999999997</v>
      </c>
      <c r="J22" s="58">
        <f t="shared" si="1"/>
        <v>0.3</v>
      </c>
      <c r="K22" s="58">
        <f t="shared" si="1"/>
        <v>0.3</v>
      </c>
      <c r="L22" s="58">
        <f t="shared" si="1"/>
        <v>0.35</v>
      </c>
      <c r="M22" s="58">
        <f t="shared" si="1"/>
        <v>0.35</v>
      </c>
      <c r="N22" s="58">
        <f t="shared" si="1"/>
        <v>0.35</v>
      </c>
      <c r="O22" s="58">
        <f t="shared" si="1"/>
        <v>0.25</v>
      </c>
      <c r="P22" s="69">
        <f t="shared" si="1"/>
        <v>0.25</v>
      </c>
      <c r="Q22" s="62"/>
      <c r="R22" s="21">
        <v>2022</v>
      </c>
      <c r="S22" s="63">
        <f>'[1]2022'!PousH</f>
        <v>0.30000006185595751</v>
      </c>
      <c r="T22" s="63">
        <f>'[2]2022'!PousH</f>
        <v>0.5</v>
      </c>
      <c r="U22" s="63">
        <f>'[3]2022'!PousH</f>
        <v>0.30000000000000004</v>
      </c>
      <c r="V22" s="63">
        <f>'[4]2022'!PousH</f>
        <v>0.5</v>
      </c>
      <c r="W22" s="63">
        <f>'[5]2022'!PousH</f>
        <v>0.60000000000000009</v>
      </c>
      <c r="X22" s="63">
        <f>'[6]2022'!PousH</f>
        <v>0.40000000000000013</v>
      </c>
      <c r="Y22" s="63">
        <f>'[7]2022'!PousH</f>
        <v>0.70000000000000018</v>
      </c>
      <c r="Z22" s="63">
        <f>'[8]2022'!PousH</f>
        <v>0.4</v>
      </c>
      <c r="AA22" s="63">
        <f>'[9]2022'!PousH</f>
        <v>0.5</v>
      </c>
      <c r="AB22" s="63">
        <f>'[10]2022'!PousH</f>
        <v>0.5</v>
      </c>
      <c r="AC22" s="63">
        <f>'[11]2022'!PousH</f>
        <v>0.5</v>
      </c>
      <c r="AD22" s="63">
        <f>'[12]2022'!PousH</f>
        <v>0.5</v>
      </c>
      <c r="AE22" s="63">
        <f>'[13]2022'!PousH</f>
        <v>0.5</v>
      </c>
      <c r="AF22" s="63">
        <f>'[14]2022'!PousH</f>
        <v>0.5</v>
      </c>
      <c r="AG22" s="70">
        <f>'[15]2022'!PousH</f>
        <v>0.5</v>
      </c>
      <c r="AH22" s="65"/>
      <c r="AI22" s="21">
        <v>2022</v>
      </c>
      <c r="AJ22" s="66">
        <f>'[1]2022'!Df</f>
        <v>0.7</v>
      </c>
      <c r="AK22" s="66">
        <f>'[2]2022'!Df</f>
        <v>0.7</v>
      </c>
      <c r="AL22" s="66">
        <f>'[3]2022'!Df</f>
        <v>0.5</v>
      </c>
      <c r="AM22" s="66">
        <f>'[4]2022'!Df</f>
        <v>0.5</v>
      </c>
      <c r="AN22" s="66">
        <f>'[5]2022'!Df</f>
        <v>0.8</v>
      </c>
      <c r="AO22" s="66">
        <f>'[6]2022'!Df</f>
        <v>0.7</v>
      </c>
      <c r="AP22" s="66">
        <f>'[7]2022'!Df</f>
        <v>1</v>
      </c>
      <c r="AQ22" s="66">
        <f>'[8]2022'!Df</f>
        <v>0.7</v>
      </c>
      <c r="AR22" s="66">
        <f>'[9]2022'!Df</f>
        <v>0.6</v>
      </c>
      <c r="AS22" s="66">
        <f>'[10]2022'!Df</f>
        <v>0.6</v>
      </c>
      <c r="AT22" s="66">
        <f>'[11]2022'!Df</f>
        <v>0.7</v>
      </c>
      <c r="AU22" s="66">
        <f>'[12]2022'!Df</f>
        <v>0.7</v>
      </c>
      <c r="AV22" s="66">
        <f>'[13]2022'!Df</f>
        <v>0.7</v>
      </c>
      <c r="AW22" s="66">
        <f>'[14]2022'!Df</f>
        <v>0.5</v>
      </c>
      <c r="AX22" s="71">
        <f>'[15]2022'!Df</f>
        <v>0.5</v>
      </c>
    </row>
    <row r="23" spans="1:50" s="80" customFormat="1" ht="12.75" x14ac:dyDescent="0.2">
      <c r="A23" s="33">
        <v>2023</v>
      </c>
      <c r="B23" s="72">
        <f t="shared" si="1"/>
        <v>0.21000004329917024</v>
      </c>
      <c r="C23" s="72">
        <f t="shared" si="1"/>
        <v>0.35</v>
      </c>
      <c r="D23" s="72">
        <f t="shared" si="1"/>
        <v>0.15000000000000002</v>
      </c>
      <c r="E23" s="72">
        <f t="shared" si="1"/>
        <v>0.25</v>
      </c>
      <c r="F23" s="73">
        <f t="shared" si="1"/>
        <v>0.48</v>
      </c>
      <c r="G23" s="72">
        <f t="shared" si="1"/>
        <v>0.28000000000000003</v>
      </c>
      <c r="H23" s="74">
        <f t="shared" si="1"/>
        <v>0.70000000000000029</v>
      </c>
      <c r="I23" s="72">
        <f t="shared" si="1"/>
        <v>0.27999999999999997</v>
      </c>
      <c r="J23" s="72">
        <f t="shared" si="1"/>
        <v>0.3</v>
      </c>
      <c r="K23" s="72">
        <f t="shared" si="1"/>
        <v>0.3</v>
      </c>
      <c r="L23" s="72">
        <f t="shared" si="1"/>
        <v>0.35</v>
      </c>
      <c r="M23" s="72">
        <f t="shared" si="1"/>
        <v>0.35</v>
      </c>
      <c r="N23" s="72">
        <f t="shared" si="1"/>
        <v>0.35</v>
      </c>
      <c r="O23" s="72">
        <f t="shared" si="1"/>
        <v>0.24999999999999997</v>
      </c>
      <c r="P23" s="75">
        <f t="shared" si="1"/>
        <v>0.25</v>
      </c>
      <c r="Q23" s="76"/>
      <c r="R23" s="37">
        <v>2023</v>
      </c>
      <c r="S23" s="77">
        <f>'[1]2023'!PousH</f>
        <v>0.30000006185595751</v>
      </c>
      <c r="T23" s="77">
        <f>'[2]2023'!PousH</f>
        <v>0.5</v>
      </c>
      <c r="U23" s="77">
        <f>'[3]2023'!PousH</f>
        <v>0.30000000000000004</v>
      </c>
      <c r="V23" s="77">
        <f>'[4]2023'!PousH</f>
        <v>0.5</v>
      </c>
      <c r="W23" s="77">
        <f>'[5]2023'!PousH</f>
        <v>0.6</v>
      </c>
      <c r="X23" s="77">
        <f>'[6]2023'!PousH</f>
        <v>0.40000000000000008</v>
      </c>
      <c r="Y23" s="77">
        <f>'[7]2023'!PousH</f>
        <v>0.70000000000000029</v>
      </c>
      <c r="Z23" s="77">
        <f>'[8]2023'!PousH</f>
        <v>0.39999999999999997</v>
      </c>
      <c r="AA23" s="77">
        <f>'[9]2023'!PousH</f>
        <v>0.5</v>
      </c>
      <c r="AB23" s="77">
        <f>'[10]2023'!PousH</f>
        <v>0.5</v>
      </c>
      <c r="AC23" s="77">
        <f>'[11]2023'!PousH</f>
        <v>0.5</v>
      </c>
      <c r="AD23" s="77">
        <f>'[12]2023'!PousH</f>
        <v>0.5</v>
      </c>
      <c r="AE23" s="77">
        <f>'[13]2023'!PousH</f>
        <v>0.5</v>
      </c>
      <c r="AF23" s="77">
        <f>'[14]2023'!PousH</f>
        <v>0.49999999999999994</v>
      </c>
      <c r="AG23" s="78">
        <f>'[15]2023'!PousH</f>
        <v>0.5</v>
      </c>
      <c r="AH23" s="79"/>
      <c r="AI23" s="37">
        <v>2023</v>
      </c>
      <c r="AJ23" s="38">
        <f>'[1]2023'!Df</f>
        <v>0.7</v>
      </c>
      <c r="AK23" s="38">
        <f>'[2]2023'!Df</f>
        <v>0.7</v>
      </c>
      <c r="AL23" s="38">
        <f>'[3]2023'!Df</f>
        <v>0.5</v>
      </c>
      <c r="AM23" s="38">
        <f>'[4]2023'!Df</f>
        <v>0.5</v>
      </c>
      <c r="AN23" s="38">
        <f>'[5]2023'!Df</f>
        <v>0.8</v>
      </c>
      <c r="AO23" s="38">
        <f>'[6]2023'!Df</f>
        <v>0.7</v>
      </c>
      <c r="AP23" s="38">
        <f>'[7]2023'!Df</f>
        <v>1</v>
      </c>
      <c r="AQ23" s="38">
        <f>'[8]2023'!Df</f>
        <v>0.7</v>
      </c>
      <c r="AR23" s="38">
        <f>'[9]2023'!Df</f>
        <v>0.6</v>
      </c>
      <c r="AS23" s="38">
        <f>'[10]2023'!Df</f>
        <v>0.6</v>
      </c>
      <c r="AT23" s="38">
        <f>'[11]2023'!Df</f>
        <v>0.7</v>
      </c>
      <c r="AU23" s="38">
        <f>'[12]2023'!Df</f>
        <v>0.7</v>
      </c>
      <c r="AV23" s="38">
        <f>'[13]2023'!Df</f>
        <v>0.7</v>
      </c>
      <c r="AW23" s="38">
        <f>'[14]2023'!Df</f>
        <v>0.5</v>
      </c>
      <c r="AX23" s="39">
        <f>'[15]2023'!Df</f>
        <v>0.5</v>
      </c>
    </row>
    <row r="24" spans="1:50" s="80" customFormat="1" ht="12.75" x14ac:dyDescent="0.2">
      <c r="A24" s="33">
        <v>2024</v>
      </c>
      <c r="B24" s="72">
        <f t="shared" si="1"/>
        <v>0.35</v>
      </c>
      <c r="C24" s="72">
        <f t="shared" si="1"/>
        <v>0.35</v>
      </c>
      <c r="D24" s="72">
        <f t="shared" si="1"/>
        <v>0.15000000000000002</v>
      </c>
      <c r="E24" s="72">
        <f t="shared" si="1"/>
        <v>0.25</v>
      </c>
      <c r="F24" s="73">
        <f t="shared" si="1"/>
        <v>0.48000000000000009</v>
      </c>
      <c r="G24" s="72">
        <f t="shared" si="1"/>
        <v>0.27999999999999992</v>
      </c>
      <c r="H24" s="74">
        <f t="shared" si="1"/>
        <v>0.69999999999999973</v>
      </c>
      <c r="I24" s="72">
        <f t="shared" si="1"/>
        <v>0.27999999999999992</v>
      </c>
      <c r="J24" s="72">
        <f t="shared" si="1"/>
        <v>0.3</v>
      </c>
      <c r="K24" s="72">
        <f t="shared" si="1"/>
        <v>0.3</v>
      </c>
      <c r="L24" s="72">
        <f t="shared" si="1"/>
        <v>0.35</v>
      </c>
      <c r="M24" s="72">
        <f t="shared" si="1"/>
        <v>0.35</v>
      </c>
      <c r="N24" s="72">
        <f t="shared" si="1"/>
        <v>0.35</v>
      </c>
      <c r="O24" s="72">
        <f t="shared" si="1"/>
        <v>0.25</v>
      </c>
      <c r="P24" s="75">
        <f t="shared" si="1"/>
        <v>0.24999999999999994</v>
      </c>
      <c r="Q24" s="76"/>
      <c r="R24" s="37">
        <v>2024</v>
      </c>
      <c r="S24" s="77">
        <f>'[1]2024'!PousH</f>
        <v>0.5</v>
      </c>
      <c r="T24" s="77">
        <f>'[2]2024'!PousH</f>
        <v>0.5</v>
      </c>
      <c r="U24" s="77">
        <f>'[3]2024'!PousH</f>
        <v>0.30000000000000004</v>
      </c>
      <c r="V24" s="77">
        <f>'[4]2024'!PousH</f>
        <v>0.5</v>
      </c>
      <c r="W24" s="77">
        <f>'[5]2024'!PousH</f>
        <v>0.60000000000000009</v>
      </c>
      <c r="X24" s="77">
        <f>'[6]2024'!PousH</f>
        <v>0.39999999999999991</v>
      </c>
      <c r="Y24" s="77">
        <f>'[7]2024'!PousH</f>
        <v>0.69999999999999973</v>
      </c>
      <c r="Z24" s="77">
        <f>'[8]2024'!PousH</f>
        <v>0.39999999999999991</v>
      </c>
      <c r="AA24" s="77">
        <f>'[9]2024'!PousH</f>
        <v>0.5</v>
      </c>
      <c r="AB24" s="77">
        <f>'[10]2024'!PousH</f>
        <v>0.5</v>
      </c>
      <c r="AC24" s="77">
        <f>'[11]2024'!PousH</f>
        <v>0.5</v>
      </c>
      <c r="AD24" s="77">
        <f>'[12]2024'!PousH</f>
        <v>0.5</v>
      </c>
      <c r="AE24" s="77">
        <f>'[13]2024'!PousH</f>
        <v>0.5</v>
      </c>
      <c r="AF24" s="77">
        <f>'[14]2024'!PousH</f>
        <v>0.5</v>
      </c>
      <c r="AG24" s="78">
        <f>'[15]2024'!PousH</f>
        <v>0.49999999999999989</v>
      </c>
      <c r="AH24" s="79"/>
      <c r="AI24" s="37">
        <v>2024</v>
      </c>
      <c r="AJ24" s="38">
        <f>'[1]2024'!Df</f>
        <v>0.7</v>
      </c>
      <c r="AK24" s="38">
        <f>'[2]2024'!Df</f>
        <v>0.7</v>
      </c>
      <c r="AL24" s="38">
        <f>'[3]2024'!Df</f>
        <v>0.5</v>
      </c>
      <c r="AM24" s="38">
        <f>'[4]2024'!Df</f>
        <v>0.5</v>
      </c>
      <c r="AN24" s="38">
        <f>'[5]2024'!Df</f>
        <v>0.8</v>
      </c>
      <c r="AO24" s="38">
        <f>'[6]2024'!Df</f>
        <v>0.7</v>
      </c>
      <c r="AP24" s="38">
        <f>'[7]2024'!Df</f>
        <v>1</v>
      </c>
      <c r="AQ24" s="38">
        <f>'[8]2024'!Df</f>
        <v>0.7</v>
      </c>
      <c r="AR24" s="38">
        <f>'[9]2024'!Df</f>
        <v>0.6</v>
      </c>
      <c r="AS24" s="38">
        <f>'[10]2024'!Df</f>
        <v>0.6</v>
      </c>
      <c r="AT24" s="38">
        <f>'[11]2024'!Df</f>
        <v>0.7</v>
      </c>
      <c r="AU24" s="38">
        <f>'[12]2024'!Df</f>
        <v>0.7</v>
      </c>
      <c r="AV24" s="38">
        <f>'[13]2024'!Df</f>
        <v>0.7</v>
      </c>
      <c r="AW24" s="38">
        <f>'[14]2024'!Df</f>
        <v>0.5</v>
      </c>
      <c r="AX24" s="39">
        <f>'[15]2024'!Df</f>
        <v>0.5</v>
      </c>
    </row>
    <row r="25" spans="1:50" s="80" customFormat="1" ht="12.75" x14ac:dyDescent="0.2">
      <c r="A25" s="33">
        <v>2025</v>
      </c>
      <c r="B25" s="72">
        <f t="shared" si="1"/>
        <v>0.35</v>
      </c>
      <c r="C25" s="72">
        <f t="shared" si="1"/>
        <v>0.35</v>
      </c>
      <c r="D25" s="72">
        <f t="shared" si="1"/>
        <v>0.15000000000000002</v>
      </c>
      <c r="E25" s="72">
        <f t="shared" si="1"/>
        <v>0.25</v>
      </c>
      <c r="F25" s="73">
        <f t="shared" si="1"/>
        <v>0.48000000000000009</v>
      </c>
      <c r="G25" s="72">
        <f t="shared" si="1"/>
        <v>0.27999999999999992</v>
      </c>
      <c r="H25" s="74">
        <f t="shared" si="1"/>
        <v>0.69999999999999973</v>
      </c>
      <c r="I25" s="72">
        <f t="shared" si="1"/>
        <v>0.28000000000000008</v>
      </c>
      <c r="J25" s="72">
        <f t="shared" si="1"/>
        <v>0.3</v>
      </c>
      <c r="K25" s="72">
        <f t="shared" si="1"/>
        <v>0.3</v>
      </c>
      <c r="L25" s="72">
        <f t="shared" si="1"/>
        <v>0.35</v>
      </c>
      <c r="M25" s="72">
        <f t="shared" si="1"/>
        <v>0.35</v>
      </c>
      <c r="N25" s="72">
        <f t="shared" si="1"/>
        <v>0.35000000000000014</v>
      </c>
      <c r="O25" s="72">
        <f t="shared" si="1"/>
        <v>0.25</v>
      </c>
      <c r="P25" s="75">
        <f t="shared" si="1"/>
        <v>0.24999999999999989</v>
      </c>
      <c r="Q25" s="76"/>
      <c r="R25" s="37">
        <v>2025</v>
      </c>
      <c r="S25" s="77">
        <f>'[1]2025'!PousH</f>
        <v>0.5</v>
      </c>
      <c r="T25" s="77">
        <f>'[2]2025'!PousH</f>
        <v>0.5</v>
      </c>
      <c r="U25" s="77">
        <f>'[3]2025'!PousH</f>
        <v>0.30000000000000004</v>
      </c>
      <c r="V25" s="77">
        <f>'[4]2025'!PousH</f>
        <v>0.5</v>
      </c>
      <c r="W25" s="77">
        <f>'[5]2025'!PousH</f>
        <v>0.60000000000000009</v>
      </c>
      <c r="X25" s="77">
        <f>'[6]2025'!PousH</f>
        <v>0.39999999999999991</v>
      </c>
      <c r="Y25" s="77">
        <f>'[7]2025'!PousH</f>
        <v>0.69999999999999973</v>
      </c>
      <c r="Z25" s="77">
        <f>'[8]2025'!PousH</f>
        <v>0.40000000000000013</v>
      </c>
      <c r="AA25" s="77">
        <f>'[9]2025'!PousH</f>
        <v>0.5</v>
      </c>
      <c r="AB25" s="77">
        <f>'[10]2025'!PousH</f>
        <v>0.5</v>
      </c>
      <c r="AC25" s="77">
        <f>'[11]2025'!PousH</f>
        <v>0.5</v>
      </c>
      <c r="AD25" s="77">
        <f>'[12]2025'!PousH</f>
        <v>0.5</v>
      </c>
      <c r="AE25" s="77">
        <f>'[13]2025'!PousH</f>
        <v>0.50000000000000022</v>
      </c>
      <c r="AF25" s="77">
        <f>'[14]2025'!PousH</f>
        <v>0.5</v>
      </c>
      <c r="AG25" s="78">
        <f>'[15]2025'!PousH</f>
        <v>0.49999999999999978</v>
      </c>
      <c r="AH25" s="79"/>
      <c r="AI25" s="37">
        <v>2025</v>
      </c>
      <c r="AJ25" s="38">
        <f>'[1]2025'!Df</f>
        <v>0.7</v>
      </c>
      <c r="AK25" s="38">
        <f>'[2]2025'!Df</f>
        <v>0.7</v>
      </c>
      <c r="AL25" s="38">
        <f>'[3]2025'!Df</f>
        <v>0.5</v>
      </c>
      <c r="AM25" s="38">
        <f>'[4]2025'!Df</f>
        <v>0.5</v>
      </c>
      <c r="AN25" s="38">
        <f>'[5]2025'!Df</f>
        <v>0.8</v>
      </c>
      <c r="AO25" s="38">
        <f>'[6]2025'!Df</f>
        <v>0.7</v>
      </c>
      <c r="AP25" s="38">
        <f>'[7]2025'!Df</f>
        <v>1</v>
      </c>
      <c r="AQ25" s="38">
        <f>'[8]2025'!Df</f>
        <v>0.7</v>
      </c>
      <c r="AR25" s="38">
        <f>'[9]2025'!Df</f>
        <v>0.6</v>
      </c>
      <c r="AS25" s="38">
        <f>'[10]2025'!Df</f>
        <v>0.6</v>
      </c>
      <c r="AT25" s="38">
        <f>'[11]2025'!Df</f>
        <v>0.7</v>
      </c>
      <c r="AU25" s="38">
        <f>'[12]2025'!Df</f>
        <v>0.7</v>
      </c>
      <c r="AV25" s="38">
        <f>'[13]2025'!Df</f>
        <v>0.7</v>
      </c>
      <c r="AW25" s="38">
        <f>'[14]2025'!Df</f>
        <v>0.5</v>
      </c>
      <c r="AX25" s="39">
        <f>'[15]2025'!Df</f>
        <v>0.5</v>
      </c>
    </row>
    <row r="26" spans="1:50" s="80" customFormat="1" ht="12.75" x14ac:dyDescent="0.2">
      <c r="A26" s="33">
        <v>2026</v>
      </c>
      <c r="B26" s="72">
        <f t="shared" si="1"/>
        <v>0.35</v>
      </c>
      <c r="C26" s="72">
        <f t="shared" si="1"/>
        <v>0.35</v>
      </c>
      <c r="D26" s="72">
        <f t="shared" si="1"/>
        <v>0.15</v>
      </c>
      <c r="E26" s="72">
        <f t="shared" si="1"/>
        <v>0.25</v>
      </c>
      <c r="F26" s="73">
        <f t="shared" si="1"/>
        <v>0.48000000000000009</v>
      </c>
      <c r="G26" s="72">
        <f t="shared" si="1"/>
        <v>0.27999999999999997</v>
      </c>
      <c r="H26" s="74">
        <f t="shared" si="1"/>
        <v>0.7</v>
      </c>
      <c r="I26" s="72">
        <f t="shared" si="1"/>
        <v>0.28000000000000008</v>
      </c>
      <c r="J26" s="72">
        <f t="shared" si="1"/>
        <v>0.3</v>
      </c>
      <c r="K26" s="72">
        <f t="shared" si="1"/>
        <v>0.3</v>
      </c>
      <c r="L26" s="72">
        <f t="shared" si="1"/>
        <v>0.35</v>
      </c>
      <c r="M26" s="72">
        <f t="shared" si="1"/>
        <v>0.35</v>
      </c>
      <c r="N26" s="72">
        <f t="shared" si="1"/>
        <v>0.35</v>
      </c>
      <c r="O26" s="72">
        <f t="shared" si="1"/>
        <v>0.25</v>
      </c>
      <c r="P26" s="75">
        <f t="shared" si="1"/>
        <v>0.24999999999999989</v>
      </c>
      <c r="Q26" s="76"/>
      <c r="R26" s="37">
        <v>2026</v>
      </c>
      <c r="S26" s="77">
        <f>'[1]2026'!PousH</f>
        <v>0.5</v>
      </c>
      <c r="T26" s="77">
        <f>'[2]2026'!PousH</f>
        <v>0.5</v>
      </c>
      <c r="U26" s="77">
        <f>'[3]2026'!PousH</f>
        <v>0.3</v>
      </c>
      <c r="V26" s="77">
        <f>'[4]2026'!PousH</f>
        <v>0.5</v>
      </c>
      <c r="W26" s="77">
        <f>'[5]2026'!PousH</f>
        <v>0.60000000000000009</v>
      </c>
      <c r="X26" s="77">
        <f>'[6]2026'!PousH</f>
        <v>0.4</v>
      </c>
      <c r="Y26" s="77">
        <f>'[7]2026'!PousH</f>
        <v>0.7</v>
      </c>
      <c r="Z26" s="77">
        <f>'[8]2026'!PousH</f>
        <v>0.40000000000000013</v>
      </c>
      <c r="AA26" s="77">
        <f>'[9]2026'!PousH</f>
        <v>0.5</v>
      </c>
      <c r="AB26" s="77">
        <f>'[10]2026'!PousH</f>
        <v>0.5</v>
      </c>
      <c r="AC26" s="77">
        <f>'[11]2026'!PousH</f>
        <v>0.5</v>
      </c>
      <c r="AD26" s="77">
        <f>'[12]2026'!PousH</f>
        <v>0.5</v>
      </c>
      <c r="AE26" s="77">
        <f>'[13]2026'!PousH</f>
        <v>0.5</v>
      </c>
      <c r="AF26" s="77">
        <f>'[14]2026'!PousH</f>
        <v>0.5</v>
      </c>
      <c r="AG26" s="78">
        <f>'[15]2026'!PousH</f>
        <v>0.49999999999999978</v>
      </c>
      <c r="AH26" s="79"/>
      <c r="AI26" s="37">
        <v>2026</v>
      </c>
      <c r="AJ26" s="38">
        <f>'[1]2026'!Df</f>
        <v>0.7</v>
      </c>
      <c r="AK26" s="38">
        <f>'[2]2026'!Df</f>
        <v>0.7</v>
      </c>
      <c r="AL26" s="38">
        <f>'[3]2026'!Df</f>
        <v>0.5</v>
      </c>
      <c r="AM26" s="38">
        <f>'[4]2026'!Df</f>
        <v>0.5</v>
      </c>
      <c r="AN26" s="38">
        <f>'[5]2026'!Df</f>
        <v>0.8</v>
      </c>
      <c r="AO26" s="38">
        <f>'[6]2026'!Df</f>
        <v>0.7</v>
      </c>
      <c r="AP26" s="38">
        <f>'[7]2026'!Df</f>
        <v>1</v>
      </c>
      <c r="AQ26" s="38">
        <f>'[8]2026'!Df</f>
        <v>0.7</v>
      </c>
      <c r="AR26" s="38">
        <f>'[9]2026'!Df</f>
        <v>0.6</v>
      </c>
      <c r="AS26" s="38">
        <f>'[10]2026'!Df</f>
        <v>0.6</v>
      </c>
      <c r="AT26" s="38">
        <f>'[11]2026'!Df</f>
        <v>0.7</v>
      </c>
      <c r="AU26" s="38">
        <f>'[12]2026'!Df</f>
        <v>0.7</v>
      </c>
      <c r="AV26" s="38">
        <f>'[13]2026'!Df</f>
        <v>0.7</v>
      </c>
      <c r="AW26" s="38">
        <f>'[14]2026'!Df</f>
        <v>0.5</v>
      </c>
      <c r="AX26" s="39">
        <f>'[15]2026'!Df</f>
        <v>0.5</v>
      </c>
    </row>
    <row r="27" spans="1:50" s="80" customFormat="1" ht="12.75" x14ac:dyDescent="0.2">
      <c r="A27" s="44">
        <v>2027</v>
      </c>
      <c r="B27" s="81">
        <f t="shared" si="1"/>
        <v>0.35</v>
      </c>
      <c r="C27" s="81">
        <f t="shared" si="1"/>
        <v>0.35</v>
      </c>
      <c r="D27" s="81">
        <f t="shared" si="1"/>
        <v>0.15</v>
      </c>
      <c r="E27" s="81">
        <f t="shared" si="1"/>
        <v>0.25</v>
      </c>
      <c r="F27" s="82">
        <f t="shared" si="1"/>
        <v>0.48000000000000009</v>
      </c>
      <c r="G27" s="81">
        <f t="shared" si="1"/>
        <v>0.27999999999999997</v>
      </c>
      <c r="H27" s="83">
        <f t="shared" si="1"/>
        <v>0.7</v>
      </c>
      <c r="I27" s="81">
        <f t="shared" si="1"/>
        <v>0.27999999999999997</v>
      </c>
      <c r="J27" s="81">
        <f t="shared" si="1"/>
        <v>0.3</v>
      </c>
      <c r="K27" s="81">
        <f t="shared" si="1"/>
        <v>0.3</v>
      </c>
      <c r="L27" s="81">
        <f t="shared" si="1"/>
        <v>0.35</v>
      </c>
      <c r="M27" s="81">
        <f t="shared" si="1"/>
        <v>0.35</v>
      </c>
      <c r="N27" s="81">
        <f t="shared" si="1"/>
        <v>0.35</v>
      </c>
      <c r="O27" s="81">
        <f t="shared" si="1"/>
        <v>0.25</v>
      </c>
      <c r="P27" s="84">
        <f t="shared" si="1"/>
        <v>0.24999999999999978</v>
      </c>
      <c r="Q27" s="76"/>
      <c r="R27" s="47">
        <v>2027</v>
      </c>
      <c r="S27" s="85">
        <f>'[1]2027'!PousH</f>
        <v>0.5</v>
      </c>
      <c r="T27" s="85">
        <f>'[2]2027'!PousH</f>
        <v>0.5</v>
      </c>
      <c r="U27" s="85">
        <f>'[3]2027'!PousH</f>
        <v>0.3</v>
      </c>
      <c r="V27" s="85">
        <f>'[4]2027'!PousH</f>
        <v>0.5</v>
      </c>
      <c r="W27" s="85">
        <f>'[5]2027'!PousH</f>
        <v>0.60000000000000009</v>
      </c>
      <c r="X27" s="85">
        <f>'[6]2027'!PousH</f>
        <v>0.4</v>
      </c>
      <c r="Y27" s="85">
        <f>'[7]2027'!PousH</f>
        <v>0.7</v>
      </c>
      <c r="Z27" s="85">
        <f>'[8]2027'!PousH</f>
        <v>0.4</v>
      </c>
      <c r="AA27" s="85">
        <f>'[9]2027'!PousH</f>
        <v>0.5</v>
      </c>
      <c r="AB27" s="85">
        <f>'[10]2027'!PousH</f>
        <v>0.5</v>
      </c>
      <c r="AC27" s="85">
        <f>'[11]2027'!PousH</f>
        <v>0.5</v>
      </c>
      <c r="AD27" s="85">
        <f>'[12]2027'!PousH</f>
        <v>0.5</v>
      </c>
      <c r="AE27" s="85">
        <f>'[13]2027'!PousH</f>
        <v>0.5</v>
      </c>
      <c r="AF27" s="85">
        <f>'[14]2027'!PousH</f>
        <v>0.5</v>
      </c>
      <c r="AG27" s="86">
        <f>'[15]2027'!PousH</f>
        <v>0.49999999999999956</v>
      </c>
      <c r="AH27" s="79"/>
      <c r="AI27" s="47">
        <v>2027</v>
      </c>
      <c r="AJ27" s="48">
        <f>'[1]2027'!Df</f>
        <v>0.7</v>
      </c>
      <c r="AK27" s="48">
        <f>'[2]2027'!Df</f>
        <v>0.7</v>
      </c>
      <c r="AL27" s="48">
        <f>'[3]2027'!Df</f>
        <v>0.5</v>
      </c>
      <c r="AM27" s="48">
        <f>'[4]2027'!Df</f>
        <v>0.5</v>
      </c>
      <c r="AN27" s="48">
        <f>'[5]2027'!Df</f>
        <v>0.8</v>
      </c>
      <c r="AO27" s="48">
        <f>'[6]2027'!Df</f>
        <v>0.7</v>
      </c>
      <c r="AP27" s="48">
        <f>'[7]2027'!Df</f>
        <v>1</v>
      </c>
      <c r="AQ27" s="48">
        <f>'[8]2027'!Df</f>
        <v>0.7</v>
      </c>
      <c r="AR27" s="48">
        <f>'[9]2027'!Df</f>
        <v>0.6</v>
      </c>
      <c r="AS27" s="48">
        <f>'[10]2027'!Df</f>
        <v>0.6</v>
      </c>
      <c r="AT27" s="48">
        <f>'[11]2027'!Df</f>
        <v>0.7</v>
      </c>
      <c r="AU27" s="48">
        <f>'[12]2027'!Df</f>
        <v>0.7</v>
      </c>
      <c r="AV27" s="48">
        <f>'[13]2027'!Df</f>
        <v>0.7</v>
      </c>
      <c r="AW27" s="48">
        <f>'[14]2027'!Df</f>
        <v>0.5</v>
      </c>
      <c r="AX27" s="49">
        <f>'[15]2027'!Df</f>
        <v>0.5</v>
      </c>
    </row>
    <row r="28" spans="1:50" ht="7.5" customHeight="1" x14ac:dyDescent="0.3">
      <c r="A28" s="1"/>
      <c r="R28" s="52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H28" s="54"/>
    </row>
    <row r="29" spans="1:50" ht="15.75" x14ac:dyDescent="0.25">
      <c r="A29" s="87" t="s">
        <v>23</v>
      </c>
    </row>
    <row r="30" spans="1:50" s="15" customFormat="1" ht="33.75" x14ac:dyDescent="0.2">
      <c r="A30" s="88" t="s">
        <v>4</v>
      </c>
      <c r="B30" s="12" t="s">
        <v>5</v>
      </c>
      <c r="C30" s="12" t="s">
        <v>6</v>
      </c>
      <c r="D30" s="12" t="s">
        <v>7</v>
      </c>
      <c r="E30" s="12" t="s">
        <v>8</v>
      </c>
      <c r="F30" s="12" t="s">
        <v>9</v>
      </c>
      <c r="G30" s="12" t="s">
        <v>10</v>
      </c>
      <c r="H30" s="12" t="s">
        <v>11</v>
      </c>
      <c r="I30" s="12" t="s">
        <v>12</v>
      </c>
      <c r="J30" s="12" t="s">
        <v>13</v>
      </c>
      <c r="K30" s="12" t="s">
        <v>14</v>
      </c>
      <c r="L30" s="12" t="s">
        <v>15</v>
      </c>
      <c r="M30" s="12" t="s">
        <v>16</v>
      </c>
      <c r="N30" s="12" t="s">
        <v>17</v>
      </c>
      <c r="O30" s="12" t="s">
        <v>18</v>
      </c>
      <c r="P30" s="12" t="s">
        <v>19</v>
      </c>
      <c r="Q30" s="89"/>
      <c r="S30" s="4"/>
      <c r="T30" s="4" t="s">
        <v>24</v>
      </c>
      <c r="U30" s="52" t="s">
        <v>25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s="15" customFormat="1" x14ac:dyDescent="0.25">
      <c r="A31" s="90" t="s">
        <v>26</v>
      </c>
      <c r="B31" s="91">
        <f>[1]!PertePVan</f>
        <v>8.0000000000000002E-3</v>
      </c>
      <c r="C31" s="91">
        <f>[2]!PertePVan</f>
        <v>8.0000000000000002E-3</v>
      </c>
      <c r="D31" s="91">
        <f>[3]!PertePVan</f>
        <v>8.0000000000000002E-3</v>
      </c>
      <c r="E31" s="91">
        <f>[4]!PertePVan</f>
        <v>8.0000000000000002E-3</v>
      </c>
      <c r="F31" s="92">
        <f>[5]!PertePVan</f>
        <v>8.5000000000000006E-3</v>
      </c>
      <c r="G31" s="92">
        <f>[6]!PertePVan</f>
        <v>8.5000000000000006E-3</v>
      </c>
      <c r="H31" s="92">
        <f>[7]!PertePVan</f>
        <v>8.5000000000000006E-3</v>
      </c>
      <c r="I31" s="93">
        <f>[8]!PertePVan</f>
        <v>7.0000000000000001E-3</v>
      </c>
      <c r="J31" s="93">
        <f>[9]!PertePVan</f>
        <v>7.0000000000000001E-3</v>
      </c>
      <c r="K31" s="93">
        <f>[10]!PertePVan</f>
        <v>7.0000000000000001E-3</v>
      </c>
      <c r="L31" s="93">
        <f>[11]!PertePVan</f>
        <v>5.4999999999999997E-3</v>
      </c>
      <c r="M31" s="93">
        <f>[12]!PertePVan</f>
        <v>5.4999999999999997E-3</v>
      </c>
      <c r="N31" s="93">
        <f>[13]!PertePVan</f>
        <v>3.0000000000000001E-3</v>
      </c>
      <c r="O31" s="93">
        <f>[14]!PertePVan</f>
        <v>5.0000000000000001E-3</v>
      </c>
      <c r="P31" s="93">
        <f>[15]!PertePVan</f>
        <v>5.0000000000000001E-3</v>
      </c>
      <c r="Q31" s="94"/>
      <c r="S31" s="460" t="s">
        <v>27</v>
      </c>
      <c r="T31" s="461"/>
      <c r="U31" s="95" t="s">
        <v>28</v>
      </c>
      <c r="W31" s="96"/>
      <c r="X31" s="96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s="102" customFormat="1" ht="12.75" x14ac:dyDescent="0.2">
      <c r="A32" s="97">
        <v>2018</v>
      </c>
      <c r="B32" s="98">
        <f>'[1]2018'!Pspv</f>
        <v>0</v>
      </c>
      <c r="C32" s="99">
        <f>'[2]2018'!Pspv</f>
        <v>0</v>
      </c>
      <c r="D32" s="99">
        <f>'[3]2018'!Pspv</f>
        <v>0</v>
      </c>
      <c r="E32" s="99">
        <f>'[4]2018'!Pspv</f>
        <v>0</v>
      </c>
      <c r="F32" s="99">
        <f>'[5]2018'!Pspv</f>
        <v>0</v>
      </c>
      <c r="G32" s="99">
        <f>'[6]2018'!Pspv</f>
        <v>0</v>
      </c>
      <c r="H32" s="99">
        <f>'[7]2018'!Pspv</f>
        <v>0</v>
      </c>
      <c r="I32" s="99"/>
      <c r="J32" s="99"/>
      <c r="K32" s="99"/>
      <c r="L32" s="99"/>
      <c r="M32" s="99"/>
      <c r="N32" s="99"/>
      <c r="O32" s="99"/>
      <c r="P32" s="100"/>
      <c r="Q32" s="101"/>
      <c r="S32" s="460" t="s">
        <v>29</v>
      </c>
      <c r="T32" s="461" t="s">
        <v>29</v>
      </c>
      <c r="U32" s="95" t="s">
        <v>30</v>
      </c>
      <c r="W32" s="103"/>
      <c r="X32" s="103"/>
    </row>
    <row r="33" spans="1:50" s="102" customFormat="1" ht="12.75" x14ac:dyDescent="0.2">
      <c r="A33" s="97">
        <v>2019</v>
      </c>
      <c r="B33" s="104">
        <f>'[1]2019'!Pspv</f>
        <v>0</v>
      </c>
      <c r="C33" s="105">
        <f>'[2]2019'!Pspv</f>
        <v>0</v>
      </c>
      <c r="D33" s="105">
        <f>'[3]2019'!Pspv</f>
        <v>0</v>
      </c>
      <c r="E33" s="105">
        <f>'[4]2019'!Pspv</f>
        <v>0</v>
      </c>
      <c r="F33" s="105">
        <f>'[5]2019'!Pspv</f>
        <v>0</v>
      </c>
      <c r="G33" s="105">
        <f>'[6]2019'!Pspv</f>
        <v>0</v>
      </c>
      <c r="H33" s="105">
        <f>'[7]2019'!Pspv</f>
        <v>0</v>
      </c>
      <c r="I33" s="105">
        <f>'[8]2019'!Pspv</f>
        <v>0</v>
      </c>
      <c r="J33" s="105">
        <f>'[9]2019'!Pspv</f>
        <v>0</v>
      </c>
      <c r="K33" s="105">
        <f>'[10]2019'!Pspv</f>
        <v>0</v>
      </c>
      <c r="L33" s="105"/>
      <c r="M33" s="105"/>
      <c r="N33" s="105"/>
      <c r="O33" s="105"/>
      <c r="P33" s="106"/>
      <c r="Q33" s="101"/>
      <c r="S33" s="460" t="s">
        <v>31</v>
      </c>
      <c r="T33" s="461" t="s">
        <v>31</v>
      </c>
      <c r="U33" s="95" t="s">
        <v>30</v>
      </c>
      <c r="W33" s="103"/>
      <c r="X33" s="103"/>
    </row>
    <row r="34" spans="1:50" s="102" customFormat="1" ht="12.75" x14ac:dyDescent="0.2">
      <c r="A34" s="97">
        <v>2020</v>
      </c>
      <c r="B34" s="104">
        <f>'[1]2020'!Pspv</f>
        <v>0</v>
      </c>
      <c r="C34" s="105">
        <f>'[2]2020'!Pspv</f>
        <v>0</v>
      </c>
      <c r="D34" s="105">
        <f>'[3]2020'!Pspv</f>
        <v>0</v>
      </c>
      <c r="E34" s="105">
        <f>'[4]2020'!Pspv</f>
        <v>0</v>
      </c>
      <c r="F34" s="105">
        <f>'[5]2020'!Pspv</f>
        <v>1.1111111111111112E-2</v>
      </c>
      <c r="G34" s="105">
        <f>'[6]2020'!Pspv</f>
        <v>0</v>
      </c>
      <c r="H34" s="105">
        <f>'[7]2020'!Pspv</f>
        <v>0</v>
      </c>
      <c r="I34" s="105">
        <f>'[8]2020'!Pspv</f>
        <v>0</v>
      </c>
      <c r="J34" s="105">
        <f>'[9]2020'!Pspv</f>
        <v>0</v>
      </c>
      <c r="K34" s="105">
        <f>'[10]2020'!Pspv</f>
        <v>0</v>
      </c>
      <c r="L34" s="105">
        <f>'[11]2020'!Pspv</f>
        <v>0</v>
      </c>
      <c r="M34" s="105">
        <f>'[12]2020'!Pspv</f>
        <v>0</v>
      </c>
      <c r="N34" s="105">
        <f>'[13]2020'!Pspv</f>
        <v>0</v>
      </c>
      <c r="O34" s="105"/>
      <c r="P34" s="106"/>
      <c r="Q34" s="101"/>
      <c r="S34" s="460" t="s">
        <v>32</v>
      </c>
      <c r="T34" s="461" t="s">
        <v>32</v>
      </c>
      <c r="U34" s="95" t="s">
        <v>33</v>
      </c>
      <c r="W34" s="103"/>
      <c r="X34" s="103"/>
    </row>
    <row r="35" spans="1:50" s="108" customFormat="1" ht="12.75" x14ac:dyDescent="0.2">
      <c r="A35" s="97">
        <v>2021</v>
      </c>
      <c r="B35" s="104">
        <f>'[1]2021'!Pspv</f>
        <v>0</v>
      </c>
      <c r="C35" s="105">
        <f>'[2]2021'!Pspv</f>
        <v>0</v>
      </c>
      <c r="D35" s="105">
        <f>'[3]2021'!Pspv</f>
        <v>-1.1999999999999999E-3</v>
      </c>
      <c r="E35" s="105">
        <f>'[4]2021'!Pspv</f>
        <v>0</v>
      </c>
      <c r="F35" s="105">
        <f>'[5]2021'!Pspv</f>
        <v>1.1111111111111112E-2</v>
      </c>
      <c r="G35" s="105">
        <f>'[6]2021'!Pspv</f>
        <v>0</v>
      </c>
      <c r="H35" s="105">
        <f>'[7]2021'!Pspv</f>
        <v>0</v>
      </c>
      <c r="I35" s="105">
        <f>'[8]2021'!Pspv</f>
        <v>0</v>
      </c>
      <c r="J35" s="105">
        <f>'[9]2021'!Pspv</f>
        <v>0</v>
      </c>
      <c r="K35" s="105">
        <f>'[10]2021'!Pspv</f>
        <v>0</v>
      </c>
      <c r="L35" s="105">
        <f>'[11]2021'!Pspv</f>
        <v>0</v>
      </c>
      <c r="M35" s="105">
        <f>'[12]2021'!Pspv</f>
        <v>0</v>
      </c>
      <c r="N35" s="105">
        <f>'[13]2021'!Pspv</f>
        <v>0</v>
      </c>
      <c r="O35" s="105"/>
      <c r="P35" s="106"/>
      <c r="Q35" s="107"/>
      <c r="S35" s="460" t="s">
        <v>34</v>
      </c>
      <c r="T35" s="461" t="s">
        <v>34</v>
      </c>
      <c r="U35" s="109" t="s">
        <v>35</v>
      </c>
      <c r="W35" s="103"/>
      <c r="X35" s="103"/>
    </row>
    <row r="36" spans="1:50" s="108" customFormat="1" ht="12.75" x14ac:dyDescent="0.2">
      <c r="A36" s="97">
        <v>2022</v>
      </c>
      <c r="B36" s="104">
        <f>'[1]2022'!Pspv</f>
        <v>0</v>
      </c>
      <c r="C36" s="105">
        <f>'[2]2022'!Pspv</f>
        <v>0</v>
      </c>
      <c r="D36" s="105">
        <f>'[3]2022'!Pspv</f>
        <v>-1.1999999999999999E-3</v>
      </c>
      <c r="E36" s="105">
        <f>'[4]2022'!Pspv</f>
        <v>0</v>
      </c>
      <c r="F36" s="105">
        <f>'[5]2022'!Pspv</f>
        <v>2.1111111111111112E-2</v>
      </c>
      <c r="G36" s="105">
        <f>'[6]2022'!Pspv</f>
        <v>0</v>
      </c>
      <c r="H36" s="105">
        <f>'[7]2022'!Pspv</f>
        <v>0</v>
      </c>
      <c r="I36" s="105">
        <f>'[8]2022'!Pspv</f>
        <v>0</v>
      </c>
      <c r="J36" s="105">
        <f>'[9]2022'!Pspv</f>
        <v>0</v>
      </c>
      <c r="K36" s="105">
        <f>'[10]2022'!Pspv</f>
        <v>0</v>
      </c>
      <c r="L36" s="105">
        <f>'[11]2022'!Pspv</f>
        <v>0</v>
      </c>
      <c r="M36" s="105">
        <f>'[12]2022'!Pspv</f>
        <v>0</v>
      </c>
      <c r="N36" s="105">
        <f>'[13]2022'!Pspv</f>
        <v>0</v>
      </c>
      <c r="O36" s="105">
        <f>'[14]2022'!Pspv</f>
        <v>0</v>
      </c>
      <c r="P36" s="106">
        <f>'[15]2022'!Pspv</f>
        <v>0</v>
      </c>
      <c r="Q36" s="107"/>
      <c r="S36" s="460" t="s">
        <v>36</v>
      </c>
      <c r="T36" s="461" t="s">
        <v>36</v>
      </c>
      <c r="U36" s="95" t="s">
        <v>37</v>
      </c>
      <c r="W36" s="103"/>
      <c r="X36" s="103"/>
    </row>
    <row r="37" spans="1:50" s="108" customFormat="1" ht="12.75" x14ac:dyDescent="0.2">
      <c r="A37" s="110">
        <v>2023</v>
      </c>
      <c r="B37" s="111">
        <f>'[1]2023'!Pspv</f>
        <v>0</v>
      </c>
      <c r="C37" s="112">
        <f>'[2]2023'!Pspv</f>
        <v>0</v>
      </c>
      <c r="D37" s="112">
        <f>'[3]2023'!Pspv</f>
        <v>-1.1999999999999999E-3</v>
      </c>
      <c r="E37" s="112">
        <f>'[4]2023'!Pspv</f>
        <v>0</v>
      </c>
      <c r="F37" s="112">
        <f>'[5]2023'!Pspv</f>
        <v>2.1111111111111112E-2</v>
      </c>
      <c r="G37" s="112">
        <f>'[6]2023'!Pspv</f>
        <v>0</v>
      </c>
      <c r="H37" s="112">
        <f>'[7]2023'!Pspv</f>
        <v>0</v>
      </c>
      <c r="I37" s="112">
        <f>'[8]2023'!Pspv</f>
        <v>0</v>
      </c>
      <c r="J37" s="112">
        <f>'[9]2023'!Pspv</f>
        <v>0</v>
      </c>
      <c r="K37" s="112">
        <f>'[10]2023'!Pspv</f>
        <v>0</v>
      </c>
      <c r="L37" s="112">
        <f>'[11]2023'!Pspv</f>
        <v>0</v>
      </c>
      <c r="M37" s="112">
        <f>'[12]2023'!Pspv</f>
        <v>0</v>
      </c>
      <c r="N37" s="112">
        <f>'[13]2023'!Pspv</f>
        <v>0</v>
      </c>
      <c r="O37" s="112">
        <f>'[14]2023'!Pspv</f>
        <v>0</v>
      </c>
      <c r="P37" s="113">
        <f>'[15]2023'!Pspv</f>
        <v>0</v>
      </c>
      <c r="Q37" s="107"/>
      <c r="S37" s="460" t="s">
        <v>38</v>
      </c>
      <c r="T37" s="461" t="s">
        <v>38</v>
      </c>
      <c r="U37" s="109" t="s">
        <v>39</v>
      </c>
      <c r="W37" s="103"/>
      <c r="X37" s="103"/>
    </row>
    <row r="38" spans="1:50" s="108" customFormat="1" ht="12.75" x14ac:dyDescent="0.2">
      <c r="A38" s="110">
        <v>2024</v>
      </c>
      <c r="B38" s="111">
        <f>'[1]2024'!Pspv</f>
        <v>0</v>
      </c>
      <c r="C38" s="112">
        <f>'[2]2024'!Pspv</f>
        <v>0</v>
      </c>
      <c r="D38" s="112">
        <f>'[3]2024'!Pspv</f>
        <v>-1.1999999999999999E-3</v>
      </c>
      <c r="E38" s="112">
        <f>'[4]2024'!Pspv</f>
        <v>0</v>
      </c>
      <c r="F38" s="112">
        <f>'[5]2024'!Pspv</f>
        <v>2.1111111111111112E-2</v>
      </c>
      <c r="G38" s="112">
        <f>'[6]2024'!Pspv</f>
        <v>0</v>
      </c>
      <c r="H38" s="112">
        <f>'[7]2024'!Pspv</f>
        <v>0</v>
      </c>
      <c r="I38" s="112">
        <f>'[8]2024'!Pspv</f>
        <v>0</v>
      </c>
      <c r="J38" s="112">
        <f>'[9]2024'!Pspv</f>
        <v>0</v>
      </c>
      <c r="K38" s="112">
        <f>'[10]2024'!Pspv</f>
        <v>0</v>
      </c>
      <c r="L38" s="112">
        <f>'[11]2024'!Pspv</f>
        <v>0</v>
      </c>
      <c r="M38" s="112">
        <f>'[12]2024'!Pspv</f>
        <v>0</v>
      </c>
      <c r="N38" s="112">
        <f>'[13]2024'!Pspv</f>
        <v>0</v>
      </c>
      <c r="O38" s="112">
        <f>'[14]2024'!Pspv</f>
        <v>0</v>
      </c>
      <c r="P38" s="113">
        <f>'[15]2024'!Pspv</f>
        <v>0</v>
      </c>
      <c r="Q38" s="107"/>
      <c r="S38" s="460" t="s">
        <v>40</v>
      </c>
      <c r="T38" s="461" t="s">
        <v>40</v>
      </c>
      <c r="U38" s="95" t="s">
        <v>41</v>
      </c>
      <c r="W38" s="103"/>
      <c r="X38" s="103"/>
    </row>
    <row r="39" spans="1:50" s="108" customFormat="1" ht="12.75" x14ac:dyDescent="0.2">
      <c r="A39" s="110">
        <v>2025</v>
      </c>
      <c r="B39" s="111">
        <f>'[1]2025'!Pspv</f>
        <v>0</v>
      </c>
      <c r="C39" s="112">
        <f>'[2]2025'!Pspv</f>
        <v>0</v>
      </c>
      <c r="D39" s="112">
        <f>'[3]2025'!Pspv</f>
        <v>-1.1999999999999999E-3</v>
      </c>
      <c r="E39" s="112">
        <f>'[4]2025'!Pspv</f>
        <v>0</v>
      </c>
      <c r="F39" s="112">
        <f>'[5]2025'!Pspv</f>
        <v>2.1111111111111112E-2</v>
      </c>
      <c r="G39" s="112">
        <f>'[6]2025'!Pspv</f>
        <v>0</v>
      </c>
      <c r="H39" s="112">
        <f>'[7]2025'!Pspv</f>
        <v>0</v>
      </c>
      <c r="I39" s="112">
        <f>'[8]2025'!Pspv</f>
        <v>0</v>
      </c>
      <c r="J39" s="112">
        <f>'[9]2025'!Pspv</f>
        <v>0</v>
      </c>
      <c r="K39" s="112">
        <f>'[10]2025'!Pspv</f>
        <v>0</v>
      </c>
      <c r="L39" s="112">
        <f>'[11]2025'!Pspv</f>
        <v>0</v>
      </c>
      <c r="M39" s="112">
        <f>'[12]2025'!Pspv</f>
        <v>0</v>
      </c>
      <c r="N39" s="112">
        <f>'[13]2025'!Pspv</f>
        <v>0</v>
      </c>
      <c r="O39" s="112">
        <f>'[14]2025'!Pspv</f>
        <v>0</v>
      </c>
      <c r="P39" s="113">
        <f>'[15]2025'!Pspv</f>
        <v>0</v>
      </c>
      <c r="Q39" s="107"/>
      <c r="S39" s="460" t="s">
        <v>42</v>
      </c>
      <c r="T39" s="461" t="s">
        <v>42</v>
      </c>
      <c r="U39" s="95" t="s">
        <v>43</v>
      </c>
      <c r="W39" s="103"/>
      <c r="X39" s="103"/>
    </row>
    <row r="40" spans="1:50" s="108" customFormat="1" ht="12.75" x14ac:dyDescent="0.2">
      <c r="A40" s="110">
        <v>2026</v>
      </c>
      <c r="B40" s="111">
        <f>'[1]2026'!Pspv</f>
        <v>0</v>
      </c>
      <c r="C40" s="112">
        <f>'[2]2026'!Pspv</f>
        <v>0</v>
      </c>
      <c r="D40" s="112">
        <f>'[3]2026'!Pspv</f>
        <v>-1.1999999999999999E-3</v>
      </c>
      <c r="E40" s="112">
        <f>'[4]2026'!Pspv</f>
        <v>0</v>
      </c>
      <c r="F40" s="112">
        <f>'[5]2026'!Pspv</f>
        <v>2.1111111111111112E-2</v>
      </c>
      <c r="G40" s="112">
        <f>'[6]2026'!Pspv</f>
        <v>0</v>
      </c>
      <c r="H40" s="112">
        <f>'[7]2026'!Pspv</f>
        <v>0</v>
      </c>
      <c r="I40" s="112">
        <f>'[8]2026'!Pspv</f>
        <v>0</v>
      </c>
      <c r="J40" s="112">
        <f>'[9]2026'!Pspv</f>
        <v>0</v>
      </c>
      <c r="K40" s="112">
        <f>'[10]2026'!Pspv</f>
        <v>0</v>
      </c>
      <c r="L40" s="112">
        <f>'[11]2026'!Pspv</f>
        <v>0</v>
      </c>
      <c r="M40" s="112">
        <f>'[12]2026'!Pspv</f>
        <v>0</v>
      </c>
      <c r="N40" s="112">
        <f>'[13]2026'!Pspv</f>
        <v>0</v>
      </c>
      <c r="O40" s="112">
        <f>'[14]2026'!Pspv</f>
        <v>0</v>
      </c>
      <c r="P40" s="113">
        <f>'[15]2026'!Pspv</f>
        <v>0</v>
      </c>
      <c r="Q40" s="107"/>
      <c r="S40" s="460" t="s">
        <v>44</v>
      </c>
      <c r="T40" s="461" t="s">
        <v>45</v>
      </c>
      <c r="U40" s="95" t="s">
        <v>46</v>
      </c>
      <c r="W40" s="103"/>
      <c r="X40" s="103"/>
    </row>
    <row r="41" spans="1:50" s="102" customFormat="1" ht="12.75" x14ac:dyDescent="0.2">
      <c r="A41" s="110">
        <v>2027</v>
      </c>
      <c r="B41" s="114">
        <f>'[1]2027'!Pspv</f>
        <v>0</v>
      </c>
      <c r="C41" s="115">
        <f>'[2]2027'!Pspv</f>
        <v>0</v>
      </c>
      <c r="D41" s="115">
        <f>'[3]2027'!Pspv</f>
        <v>-1.1999999999999999E-3</v>
      </c>
      <c r="E41" s="115">
        <f>'[4]2027'!Pspv</f>
        <v>0</v>
      </c>
      <c r="F41" s="115">
        <f>'[5]2027'!Pspv</f>
        <v>2.1111111111111112E-2</v>
      </c>
      <c r="G41" s="115">
        <f>'[6]2027'!Pspv</f>
        <v>0</v>
      </c>
      <c r="H41" s="115">
        <f>'[7]2027'!Pspv</f>
        <v>0</v>
      </c>
      <c r="I41" s="115">
        <f>'[8]2027'!Pspv</f>
        <v>0</v>
      </c>
      <c r="J41" s="115">
        <f>'[9]2027'!Pspv</f>
        <v>0</v>
      </c>
      <c r="K41" s="115">
        <f>'[10]2027'!Pspv</f>
        <v>0</v>
      </c>
      <c r="L41" s="115">
        <f>'[11]2027'!Pspv</f>
        <v>0</v>
      </c>
      <c r="M41" s="115">
        <f>'[12]2027'!Pspv</f>
        <v>0</v>
      </c>
      <c r="N41" s="115">
        <f>'[13]2027'!Pspv</f>
        <v>0</v>
      </c>
      <c r="O41" s="115">
        <f>'[14]2027'!Pspv</f>
        <v>0</v>
      </c>
      <c r="P41" s="116">
        <f>'[15]2027'!Pspv</f>
        <v>0</v>
      </c>
      <c r="Q41" s="117"/>
      <c r="S41" s="460" t="s">
        <v>47</v>
      </c>
      <c r="T41" s="461" t="s">
        <v>47</v>
      </c>
      <c r="U41" s="95" t="s">
        <v>48</v>
      </c>
      <c r="W41" s="103"/>
      <c r="X41" s="103"/>
    </row>
    <row r="42" spans="1:50" s="102" customFormat="1" ht="13.5" thickBot="1" x14ac:dyDescent="0.25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20"/>
      <c r="S42" s="460" t="s">
        <v>49</v>
      </c>
      <c r="T42" s="461" t="s">
        <v>49</v>
      </c>
      <c r="U42" s="95" t="s">
        <v>50</v>
      </c>
      <c r="W42" s="103"/>
      <c r="X42" s="103"/>
      <c r="AF42" s="119"/>
      <c r="AG42" s="119"/>
      <c r="AW42" s="119"/>
      <c r="AX42" s="119"/>
    </row>
    <row r="43" spans="1:50" s="102" customFormat="1" ht="16.5" thickBot="1" x14ac:dyDescent="0.25"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2">
        <v>5.4999999999999997E-3</v>
      </c>
      <c r="M43" s="121"/>
      <c r="N43" s="121"/>
      <c r="O43" s="121"/>
      <c r="P43" s="121"/>
      <c r="Q43" s="123"/>
      <c r="S43" s="460" t="s">
        <v>51</v>
      </c>
      <c r="T43" s="461" t="s">
        <v>51</v>
      </c>
      <c r="U43" s="95" t="s">
        <v>52</v>
      </c>
      <c r="W43" s="103"/>
      <c r="X43" s="103"/>
      <c r="AF43" s="121"/>
      <c r="AG43" s="121"/>
      <c r="AW43" s="121"/>
      <c r="AX43" s="121"/>
    </row>
  </sheetData>
  <mergeCells count="13">
    <mergeCell ref="S43:T43"/>
    <mergeCell ref="S37:T37"/>
    <mergeCell ref="S38:T38"/>
    <mergeCell ref="S39:T39"/>
    <mergeCell ref="S40:T40"/>
    <mergeCell ref="S41:T41"/>
    <mergeCell ref="S42:T42"/>
    <mergeCell ref="S36:T36"/>
    <mergeCell ref="S31:T31"/>
    <mergeCell ref="S32:T32"/>
    <mergeCell ref="S33:T33"/>
    <mergeCell ref="S34:T34"/>
    <mergeCell ref="S35:T35"/>
  </mergeCells>
  <conditionalFormatting sqref="B32:M41">
    <cfRule type="expression" dxfId="8" priority="3">
      <formula>(B32=0)</formula>
    </cfRule>
  </conditionalFormatting>
  <conditionalFormatting sqref="N32:N41">
    <cfRule type="expression" dxfId="7" priority="2">
      <formula>(N32=0)</formula>
    </cfRule>
  </conditionalFormatting>
  <conditionalFormatting sqref="O32:P41">
    <cfRule type="expression" dxfId="6" priority="1">
      <formula>(O32=0)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Nettoyages</vt:lpstr>
      <vt:lpstr>Recap %</vt:lpstr>
      <vt:lpstr>Recap kWh</vt:lpstr>
      <vt:lpstr>Coeff's perfo</vt:lpstr>
      <vt:lpstr>Gain action</vt:lpstr>
      <vt:lpstr>Pertes</vt:lpstr>
      <vt:lpstr>Réglages pertes</vt:lpstr>
      <vt:lpstr>Inter_net</vt:lpstr>
      <vt:lpstr>Inter_tai</vt:lpstr>
      <vt:lpstr>Nserv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2023-01-12T10:36:07Z</dcterms:created>
  <dcterms:modified xsi:type="dcterms:W3CDTF">2023-01-25T17:44:18Z</dcterms:modified>
</cp:coreProperties>
</file>