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ean-Paul\ownCloud\Finances\Montage financier\"/>
    </mc:Choice>
  </mc:AlternateContent>
  <bookViews>
    <workbookView xWindow="0" yWindow="0" windowWidth="28800" windowHeight="11835"/>
  </bookViews>
  <sheets>
    <sheet name="phase 3" sheetId="1" r:id="rId1"/>
    <sheet name="Ayguevives ET" sheetId="2" r:id="rId2"/>
    <sheet name="Montbrun AS" sheetId="3" r:id="rId3"/>
    <sheet name="Odars CN" sheetId="4" r:id="rId4"/>
    <sheet name="pertes rdt" sheetId="5" r:id="rId5"/>
  </sheets>
  <calcPr calcId="152511"/>
</workbook>
</file>

<file path=xl/calcChain.xml><?xml version="1.0" encoding="utf-8"?>
<calcChain xmlns="http://schemas.openxmlformats.org/spreadsheetml/2006/main">
  <c r="C22" i="3" l="1"/>
  <c r="C23" i="3" s="1"/>
  <c r="C24" i="3" s="1"/>
  <c r="C25" i="3" s="1"/>
  <c r="C26" i="3" s="1"/>
  <c r="C27" i="3" s="1"/>
  <c r="C28" i="3" s="1"/>
  <c r="C29" i="3" s="1"/>
  <c r="C30" i="3" s="1"/>
  <c r="C31" i="3" s="1"/>
  <c r="C32" i="3" s="1"/>
  <c r="C33" i="3" s="1"/>
  <c r="C34" i="3" s="1"/>
  <c r="C35" i="3" s="1"/>
  <c r="C36" i="3" s="1"/>
  <c r="C37" i="3" s="1"/>
  <c r="C38" i="3" s="1"/>
  <c r="C39" i="3" s="1"/>
  <c r="C40" i="3" s="1"/>
  <c r="C21" i="3"/>
  <c r="C20" i="3"/>
  <c r="J22" i="3"/>
  <c r="J23" i="3" s="1"/>
  <c r="J24" i="3" s="1"/>
  <c r="J25" i="3" s="1"/>
  <c r="J26" i="3" s="1"/>
  <c r="J27" i="3" s="1"/>
  <c r="J28" i="3" s="1"/>
  <c r="J29" i="3" s="1"/>
  <c r="J30" i="3" s="1"/>
  <c r="J31" i="3" s="1"/>
  <c r="J32" i="3" s="1"/>
  <c r="J33" i="3" s="1"/>
  <c r="J34" i="3" s="1"/>
  <c r="J35" i="3" s="1"/>
  <c r="J36" i="3" s="1"/>
  <c r="J37" i="3" s="1"/>
  <c r="J38" i="3" s="1"/>
  <c r="J39" i="3" s="1"/>
  <c r="J40" i="3" s="1"/>
  <c r="J21" i="3"/>
  <c r="J20" i="3"/>
  <c r="M13" i="3"/>
  <c r="M9" i="3"/>
  <c r="I22" i="3" s="1"/>
  <c r="M5" i="3"/>
  <c r="I20" i="3" s="1"/>
  <c r="I27" i="3" l="1"/>
  <c r="I26" i="3"/>
  <c r="I25" i="3"/>
  <c r="I40" i="3"/>
  <c r="I39" i="3"/>
  <c r="I31" i="3"/>
  <c r="I23" i="3"/>
  <c r="I37" i="3"/>
  <c r="I29" i="3"/>
  <c r="I36" i="3"/>
  <c r="I28" i="3"/>
  <c r="I35" i="3"/>
  <c r="I34" i="3"/>
  <c r="I21" i="3"/>
  <c r="I17" i="3" s="1"/>
  <c r="I33" i="3"/>
  <c r="I32" i="3"/>
  <c r="I24" i="3"/>
  <c r="I38" i="3"/>
  <c r="I30" i="3"/>
  <c r="I18" i="3"/>
  <c r="E13" i="1"/>
  <c r="D13" i="1"/>
  <c r="C13" i="1"/>
  <c r="B13" i="1"/>
  <c r="A13" i="1"/>
  <c r="A9" i="1"/>
  <c r="F9" i="1" s="1"/>
  <c r="E5" i="1"/>
  <c r="D5" i="1"/>
  <c r="C5" i="1"/>
  <c r="B5" i="1"/>
  <c r="A5" i="1"/>
  <c r="C34" i="5"/>
  <c r="C36" i="5" s="1"/>
  <c r="B34" i="5"/>
  <c r="B35" i="5" s="1"/>
  <c r="F13" i="4"/>
  <c r="F9" i="4"/>
  <c r="F5" i="4"/>
  <c r="B20" i="4" s="1"/>
  <c r="F13" i="3"/>
  <c r="F9" i="3"/>
  <c r="F5" i="3"/>
  <c r="B59" i="3" s="1"/>
  <c r="F13" i="2"/>
  <c r="F13" i="1" s="1"/>
  <c r="F9" i="2"/>
  <c r="F5" i="2"/>
  <c r="B59" i="2" s="1"/>
  <c r="E45" i="1"/>
  <c r="C35" i="5" l="1"/>
  <c r="C8" i="5" s="1"/>
  <c r="B20" i="2"/>
  <c r="B36" i="5"/>
  <c r="B8" i="5" s="1"/>
  <c r="B20" i="3"/>
  <c r="C9" i="5"/>
  <c r="C10" i="5" s="1"/>
  <c r="C11" i="5" s="1"/>
  <c r="C12" i="5" s="1"/>
  <c r="B21" i="3"/>
  <c r="B9" i="5"/>
  <c r="B10" i="5" s="1"/>
  <c r="B11" i="5" s="1"/>
  <c r="B12" i="5" s="1"/>
  <c r="B25" i="2" s="1"/>
  <c r="B21" i="4"/>
  <c r="F5" i="1"/>
  <c r="B21" i="2"/>
  <c r="B59" i="4"/>
  <c r="B23" i="4"/>
  <c r="B60" i="2"/>
  <c r="B60" i="3"/>
  <c r="B60" i="4"/>
  <c r="B61" i="2"/>
  <c r="B63" i="3"/>
  <c r="B22" i="4" l="1"/>
  <c r="B25" i="4"/>
  <c r="B63" i="2"/>
  <c r="B54" i="1" s="1"/>
  <c r="B22" i="2"/>
  <c r="B62" i="4"/>
  <c r="B64" i="2"/>
  <c r="B23" i="2"/>
  <c r="B63" i="4"/>
  <c r="B51" i="1"/>
  <c r="B62" i="2"/>
  <c r="B24" i="4"/>
  <c r="B61" i="4"/>
  <c r="B24" i="2"/>
  <c r="C20" i="1"/>
  <c r="C50" i="1"/>
  <c r="C51" i="1" s="1"/>
  <c r="B20" i="1"/>
  <c r="B50" i="1"/>
  <c r="B61" i="3"/>
  <c r="B24" i="3"/>
  <c r="B23" i="3"/>
  <c r="B22" i="3"/>
  <c r="C13" i="5"/>
  <c r="B64" i="3"/>
  <c r="B13" i="5"/>
  <c r="B64" i="4"/>
  <c r="B62" i="3"/>
  <c r="B53" i="1" s="1"/>
  <c r="B25" i="3"/>
  <c r="B25" i="1" s="1"/>
  <c r="B21" i="1"/>
  <c r="B24" i="1" l="1"/>
  <c r="B23" i="1"/>
  <c r="C21" i="1"/>
  <c r="C22" i="1" s="1"/>
  <c r="C23" i="1" s="1"/>
  <c r="C24" i="1" s="1"/>
  <c r="C25" i="1" s="1"/>
  <c r="B14" i="5"/>
  <c r="B65" i="2"/>
  <c r="B65" i="4"/>
  <c r="B26" i="2"/>
  <c r="B26" i="4"/>
  <c r="B55" i="1"/>
  <c r="B22" i="1"/>
  <c r="B52" i="1"/>
  <c r="C52" i="1" s="1"/>
  <c r="C53" i="1" s="1"/>
  <c r="C54" i="1" s="1"/>
  <c r="C55" i="1" s="1"/>
  <c r="C14" i="5"/>
  <c r="B26" i="3"/>
  <c r="B65" i="3"/>
  <c r="B56" i="1" l="1"/>
  <c r="C56" i="1" s="1"/>
  <c r="B26" i="1"/>
  <c r="C26" i="1" s="1"/>
  <c r="B15" i="5"/>
  <c r="B66" i="2"/>
  <c r="B66" i="4"/>
  <c r="B27" i="2"/>
  <c r="B27" i="4"/>
  <c r="C15" i="5"/>
  <c r="B66" i="3"/>
  <c r="B27" i="3"/>
  <c r="B27" i="1" l="1"/>
  <c r="C27" i="1" s="1"/>
  <c r="B16" i="5"/>
  <c r="B67" i="2"/>
  <c r="B28" i="2"/>
  <c r="B28" i="4"/>
  <c r="B67" i="4"/>
  <c r="B57" i="1"/>
  <c r="C57" i="1" s="1"/>
  <c r="C16" i="5"/>
  <c r="B28" i="3"/>
  <c r="B67" i="3"/>
  <c r="C17" i="5" l="1"/>
  <c r="B29" i="3"/>
  <c r="B68" i="3"/>
  <c r="B28" i="1"/>
  <c r="C28" i="1" s="1"/>
  <c r="B58" i="1"/>
  <c r="C58" i="1" s="1"/>
  <c r="B17" i="5"/>
  <c r="B29" i="4"/>
  <c r="B29" i="2"/>
  <c r="B68" i="4"/>
  <c r="B68" i="2"/>
  <c r="B59" i="1" l="1"/>
  <c r="C59" i="1"/>
  <c r="B29" i="1"/>
  <c r="C29" i="1" s="1"/>
  <c r="C18" i="5"/>
  <c r="B69" i="3"/>
  <c r="B30" i="3"/>
  <c r="B18" i="5"/>
  <c r="B30" i="4"/>
  <c r="B69" i="4"/>
  <c r="B69" i="2"/>
  <c r="B30" i="2"/>
  <c r="C19" i="5" l="1"/>
  <c r="B70" i="3"/>
  <c r="B31" i="3"/>
  <c r="B19" i="5"/>
  <c r="B31" i="4"/>
  <c r="B70" i="2"/>
  <c r="B61" i="1" s="1"/>
  <c r="B31" i="2"/>
  <c r="B31" i="1" s="1"/>
  <c r="B70" i="4"/>
  <c r="B30" i="1"/>
  <c r="C30" i="1" s="1"/>
  <c r="B60" i="1"/>
  <c r="C60" i="1" s="1"/>
  <c r="C61" i="1" l="1"/>
  <c r="C31" i="1"/>
  <c r="B20" i="5"/>
  <c r="B32" i="4"/>
  <c r="B71" i="4"/>
  <c r="B71" i="2"/>
  <c r="B62" i="1" s="1"/>
  <c r="C62" i="1" s="1"/>
  <c r="B32" i="2"/>
  <c r="B32" i="1" s="1"/>
  <c r="C32" i="1" s="1"/>
  <c r="C20" i="5"/>
  <c r="B71" i="3"/>
  <c r="B32" i="3"/>
  <c r="C21" i="5" l="1"/>
  <c r="B72" i="3"/>
  <c r="B33" i="3"/>
  <c r="B21" i="5"/>
  <c r="B72" i="4"/>
  <c r="B72" i="2"/>
  <c r="B63" i="1" s="1"/>
  <c r="C63" i="1" s="1"/>
  <c r="B33" i="2"/>
  <c r="B33" i="4"/>
  <c r="B33" i="1" l="1"/>
  <c r="C33" i="1" s="1"/>
  <c r="B22" i="5"/>
  <c r="B34" i="2"/>
  <c r="B73" i="2"/>
  <c r="B34" i="4"/>
  <c r="B73" i="4"/>
  <c r="C22" i="5"/>
  <c r="B34" i="3"/>
  <c r="B73" i="3"/>
  <c r="C23" i="5" l="1"/>
  <c r="B35" i="3"/>
  <c r="B74" i="3"/>
  <c r="B23" i="5"/>
  <c r="B74" i="2"/>
  <c r="B65" i="1" s="1"/>
  <c r="B74" i="4"/>
  <c r="B35" i="2"/>
  <c r="B35" i="4"/>
  <c r="B64" i="1"/>
  <c r="C64" i="1" s="1"/>
  <c r="B34" i="1"/>
  <c r="C34" i="1" s="1"/>
  <c r="B35" i="1" l="1"/>
  <c r="C35" i="1" s="1"/>
  <c r="C65" i="1"/>
  <c r="B24" i="5"/>
  <c r="B75" i="2"/>
  <c r="B36" i="2"/>
  <c r="B36" i="4"/>
  <c r="B75" i="4"/>
  <c r="C24" i="5"/>
  <c r="B36" i="3"/>
  <c r="B75" i="3"/>
  <c r="B36" i="1" l="1"/>
  <c r="C36" i="1" s="1"/>
  <c r="C25" i="5"/>
  <c r="B37" i="3"/>
  <c r="B76" i="3"/>
  <c r="B66" i="1"/>
  <c r="C66" i="1" s="1"/>
  <c r="B25" i="5"/>
  <c r="B37" i="4"/>
  <c r="B76" i="2"/>
  <c r="B67" i="1" s="1"/>
  <c r="B37" i="2"/>
  <c r="B76" i="4"/>
  <c r="C67" i="1" l="1"/>
  <c r="C26" i="5"/>
  <c r="B38" i="3"/>
  <c r="B77" i="3"/>
  <c r="B26" i="5"/>
  <c r="B38" i="4"/>
  <c r="B77" i="4"/>
  <c r="B38" i="2"/>
  <c r="B77" i="2"/>
  <c r="B37" i="1"/>
  <c r="C37" i="1" s="1"/>
  <c r="B68" i="1" l="1"/>
  <c r="C68" i="1" s="1"/>
  <c r="B38" i="1"/>
  <c r="C38" i="1" s="1"/>
  <c r="B27" i="5"/>
  <c r="B78" i="4"/>
  <c r="B39" i="4"/>
  <c r="B39" i="2"/>
  <c r="B39" i="1" s="1"/>
  <c r="B78" i="2"/>
  <c r="C27" i="5"/>
  <c r="B78" i="3"/>
  <c r="B39" i="3"/>
  <c r="C39" i="1" l="1"/>
  <c r="C28" i="5"/>
  <c r="C29" i="5" s="1"/>
  <c r="C30" i="5" s="1"/>
  <c r="C31" i="5" s="1"/>
  <c r="C32" i="5" s="1"/>
  <c r="B40" i="3"/>
  <c r="B79" i="3"/>
  <c r="B69" i="1"/>
  <c r="C69" i="1" s="1"/>
  <c r="B28" i="5"/>
  <c r="B29" i="5" s="1"/>
  <c r="B30" i="5" s="1"/>
  <c r="B31" i="5" s="1"/>
  <c r="B32" i="5" s="1"/>
  <c r="B40" i="4"/>
  <c r="B40" i="2"/>
  <c r="B79" i="2"/>
  <c r="B79" i="4"/>
  <c r="B40" i="1" l="1"/>
  <c r="C40" i="1" s="1"/>
  <c r="B18" i="2"/>
  <c r="B17" i="2"/>
  <c r="B18" i="4"/>
  <c r="B17" i="4"/>
  <c r="B17" i="3"/>
  <c r="B18" i="3"/>
  <c r="B70" i="1"/>
  <c r="C70" i="1" s="1"/>
  <c r="B56" i="2"/>
  <c r="B57" i="2"/>
  <c r="B56" i="3"/>
  <c r="B57" i="3"/>
  <c r="B57" i="4"/>
  <c r="B56" i="4"/>
  <c r="B48" i="1" l="1"/>
  <c r="B47" i="1"/>
  <c r="B17" i="1"/>
  <c r="B18" i="1"/>
</calcChain>
</file>

<file path=xl/sharedStrings.xml><?xml version="1.0" encoding="utf-8"?>
<sst xmlns="http://schemas.openxmlformats.org/spreadsheetml/2006/main" count="339" uniqueCount="61">
  <si>
    <t>Phase 3</t>
  </si>
  <si>
    <t>Investissement initial</t>
  </si>
  <si>
    <t>Centrale PV HT</t>
  </si>
  <si>
    <t>BC</t>
  </si>
  <si>
    <t>BE struct</t>
  </si>
  <si>
    <t>Raccordement</t>
  </si>
  <si>
    <t>MOE</t>
  </si>
  <si>
    <t>Total</t>
  </si>
  <si>
    <r>
      <rPr>
        <b/>
        <sz val="11"/>
        <color theme="1"/>
        <rFont val="Liberation Sans"/>
      </rPr>
      <t xml:space="preserve">Produit </t>
    </r>
    <r>
      <rPr>
        <sz val="11"/>
        <color theme="1"/>
        <rFont val="Liberation Sans"/>
      </rPr>
      <t>(1ère année d’exploitation)</t>
    </r>
  </si>
  <si>
    <t>production (kWh/an)</t>
  </si>
  <si>
    <t>Tarif OA</t>
  </si>
  <si>
    <t>Total Produit</t>
  </si>
  <si>
    <t>Charges annuelles</t>
  </si>
  <si>
    <t>maintenance</t>
  </si>
  <si>
    <t>assurance</t>
  </si>
  <si>
    <t>location toit</t>
  </si>
  <si>
    <t>TURPE</t>
  </si>
  <si>
    <t>Divers</t>
  </si>
  <si>
    <t>Total Charge</t>
  </si>
  <si>
    <t>Hypothèse 1 : pas de changement d’onduleur année 12</t>
  </si>
  <si>
    <t>taux d’actualisation</t>
  </si>
  <si>
    <t>indexation (L)</t>
  </si>
  <si>
    <t>VAN</t>
  </si>
  <si>
    <t>TRI</t>
  </si>
  <si>
    <t>Revenu net année 1</t>
  </si>
  <si>
    <t>Revenu net année 2</t>
  </si>
  <si>
    <t>Revenu net année 3</t>
  </si>
  <si>
    <t>Revenu net année 4</t>
  </si>
  <si>
    <t>Revenu net année 5</t>
  </si>
  <si>
    <t>Revenu net année 6</t>
  </si>
  <si>
    <t>Revenu net année 7</t>
  </si>
  <si>
    <t>Revenu net année 8</t>
  </si>
  <si>
    <t>Revenu net année 9</t>
  </si>
  <si>
    <t>Revenu net année 10</t>
  </si>
  <si>
    <t>Revenu net année 11</t>
  </si>
  <si>
    <t>Revenu net année 12</t>
  </si>
  <si>
    <t>Revenu net année 13</t>
  </si>
  <si>
    <t>Revenu net année 14</t>
  </si>
  <si>
    <t>Revenu net année 15</t>
  </si>
  <si>
    <t>Revenu net année 16</t>
  </si>
  <si>
    <t>Revenu net année 17</t>
  </si>
  <si>
    <t>Revenu net année 18</t>
  </si>
  <si>
    <t>Revenu net année 19</t>
  </si>
  <si>
    <t>Revenu net année 20</t>
  </si>
  <si>
    <t>Hypothèse 2 : changement des 3 onduleurs année 12</t>
  </si>
  <si>
    <t>Tarif</t>
  </si>
  <si>
    <t>Gymnase d’Ayguevives</t>
  </si>
  <si>
    <t>Hypothèse 2 : changement de l’onduleur année 12</t>
  </si>
  <si>
    <t>Ecole de Montbrun</t>
  </si>
  <si>
    <t>Ecole d’Odars</t>
  </si>
  <si>
    <t>Profil 1 :</t>
  </si>
  <si>
    <t xml:space="preserve"> à 25 ans</t>
  </si>
  <si>
    <t>JA Solar 320 Wc sur Odars et Ayguesvives</t>
  </si>
  <si>
    <t>Profil 2 :</t>
  </si>
  <si>
    <t>LG 345 Wc sur Montbrun</t>
  </si>
  <si>
    <t>Facteur de dégradation des performances selon garantie constructeur</t>
  </si>
  <si>
    <t>an</t>
  </si>
  <si>
    <t>Profil 1</t>
  </si>
  <si>
    <t>Profil 2</t>
  </si>
  <si>
    <t>À 25 ans</t>
  </si>
  <si>
    <t>% degr/an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</si>
</sst>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8" formatCode="#,##0.00\ &quot;€&quot;;[Red]\-#,##0.00\ &quot;€&quot;"/>
    <numFmt numFmtId="164" formatCode="#,##0.00&quot; &quot;[$€-40C];[Red]&quot;-&quot;#,##0.00&quot; &quot;[$€-40C]"/>
    <numFmt numFmtId="165" formatCode="0.00&quot; &quot;%"/>
    <numFmt numFmtId="166" formatCode="#,##0.00000"/>
  </numFmts>
  <fonts count="16">
    <font>
      <sz val="11"/>
      <color theme="1"/>
      <name val="Liberation Sans"/>
    </font>
    <font>
      <sz val="11"/>
      <color theme="1"/>
      <name val="Liberation Sans"/>
    </font>
    <font>
      <b/>
      <sz val="10"/>
      <color rgb="FF000000"/>
      <name val="Liberation Sans"/>
    </font>
    <font>
      <sz val="10"/>
      <color rgb="FFFFFFFF"/>
      <name val="Liberation Sans"/>
    </font>
    <font>
      <sz val="10"/>
      <color rgb="FFCC0000"/>
      <name val="Liberation Sans"/>
    </font>
    <font>
      <b/>
      <sz val="10"/>
      <color rgb="FFFFFFFF"/>
      <name val="Liberation Sans"/>
    </font>
    <font>
      <i/>
      <sz val="10"/>
      <color rgb="FF808080"/>
      <name val="Liberation Sans"/>
    </font>
    <font>
      <sz val="10"/>
      <color rgb="FF006600"/>
      <name val="Liberation Sans"/>
    </font>
    <font>
      <b/>
      <sz val="24"/>
      <color rgb="FF000000"/>
      <name val="Liberation Sans"/>
    </font>
    <font>
      <sz val="18"/>
      <color rgb="FF000000"/>
      <name val="Liberation Sans"/>
    </font>
    <font>
      <sz val="12"/>
      <color rgb="FF000000"/>
      <name val="Liberation Sans"/>
    </font>
    <font>
      <u/>
      <sz val="10"/>
      <color rgb="FF0000EE"/>
      <name val="Liberation Sans"/>
    </font>
    <font>
      <sz val="10"/>
      <color rgb="FF996600"/>
      <name val="Liberation Sans"/>
    </font>
    <font>
      <sz val="10"/>
      <color rgb="FF333333"/>
      <name val="Liberation Sans"/>
    </font>
    <font>
      <b/>
      <sz val="11"/>
      <color theme="1"/>
      <name val="Liberation Sans"/>
    </font>
    <font>
      <u/>
      <sz val="11"/>
      <color theme="1"/>
      <name val="Liberation Sans"/>
    </font>
  </fonts>
  <fills count="9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</fills>
  <borders count="2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18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0" fontId="6" fillId="0" borderId="0"/>
    <xf numFmtId="0" fontId="7" fillId="7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8" borderId="0"/>
    <xf numFmtId="0" fontId="13" fillId="8" borderId="1"/>
    <xf numFmtId="0" fontId="1" fillId="0" borderId="0"/>
    <xf numFmtId="0" fontId="1" fillId="0" borderId="0"/>
    <xf numFmtId="0" fontId="4" fillId="0" borderId="0"/>
  </cellStyleXfs>
  <cellXfs count="11">
    <xf numFmtId="0" fontId="0" fillId="0" borderId="0" xfId="0"/>
    <xf numFmtId="0" fontId="14" fillId="0" borderId="0" xfId="0" applyFont="1"/>
    <xf numFmtId="164" fontId="0" fillId="0" borderId="0" xfId="0" applyNumberFormat="1"/>
    <xf numFmtId="4" fontId="14" fillId="0" borderId="0" xfId="0" applyNumberFormat="1" applyFont="1"/>
    <xf numFmtId="4" fontId="0" fillId="0" borderId="0" xfId="0" applyNumberFormat="1"/>
    <xf numFmtId="4" fontId="15" fillId="0" borderId="0" xfId="0" applyNumberFormat="1" applyFont="1"/>
    <xf numFmtId="165" fontId="0" fillId="0" borderId="0" xfId="0" applyNumberFormat="1"/>
    <xf numFmtId="9" fontId="0" fillId="0" borderId="0" xfId="0" applyNumberFormat="1"/>
    <xf numFmtId="166" fontId="0" fillId="0" borderId="0" xfId="0" applyNumberFormat="1"/>
    <xf numFmtId="8" fontId="0" fillId="0" borderId="0" xfId="0" applyNumberFormat="1"/>
    <xf numFmtId="40" fontId="0" fillId="0" borderId="0" xfId="0" applyNumberFormat="1"/>
  </cellXfs>
  <cellStyles count="18">
    <cellStyle name="Accent" xfId="1"/>
    <cellStyle name="Accent 1" xfId="2"/>
    <cellStyle name="Accent 2" xfId="3"/>
    <cellStyle name="Accent 3" xfId="4"/>
    <cellStyle name="Bad" xfId="5"/>
    <cellStyle name="Error" xfId="6"/>
    <cellStyle name="Footnote" xfId="7"/>
    <cellStyle name="Good" xfId="8"/>
    <cellStyle name="Heading (user)" xfId="9"/>
    <cellStyle name="Heading 1" xfId="10"/>
    <cellStyle name="Heading 2" xfId="11"/>
    <cellStyle name="Hyperlink" xfId="12"/>
    <cellStyle name="Neutral" xfId="13"/>
    <cellStyle name="Normal" xfId="0" builtinId="0" customBuiltin="1"/>
    <cellStyle name="Note" xfId="14"/>
    <cellStyle name="Status" xfId="15"/>
    <cellStyle name="Text" xfId="16"/>
    <cellStyle name="Warning" xfId="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0"/>
  <sheetViews>
    <sheetView tabSelected="1" topLeftCell="A10" workbookViewId="0">
      <selection activeCell="A9" sqref="A9"/>
    </sheetView>
  </sheetViews>
  <sheetFormatPr baseColWidth="10" defaultRowHeight="14.25"/>
  <cols>
    <col min="1" max="1" width="22.25" customWidth="1"/>
    <col min="2" max="2" width="13.125" customWidth="1"/>
    <col min="3" max="3" width="14.875" style="9" customWidth="1"/>
    <col min="4" max="4" width="12.25" customWidth="1"/>
    <col min="5" max="5" width="10.625" customWidth="1"/>
    <col min="6" max="6" width="19" customWidth="1"/>
  </cols>
  <sheetData>
    <row r="1" spans="1:6" ht="15">
      <c r="A1" s="1" t="s">
        <v>0</v>
      </c>
    </row>
    <row r="3" spans="1:6" ht="15">
      <c r="A3" s="1" t="s">
        <v>1</v>
      </c>
    </row>
    <row r="4" spans="1:6">
      <c r="A4" t="s">
        <v>2</v>
      </c>
      <c r="B4" t="s">
        <v>3</v>
      </c>
      <c r="C4" s="9" t="s">
        <v>4</v>
      </c>
      <c r="D4" t="s">
        <v>5</v>
      </c>
      <c r="E4" t="s">
        <v>6</v>
      </c>
      <c r="F4" t="s">
        <v>7</v>
      </c>
    </row>
    <row r="5" spans="1:6">
      <c r="A5" s="2">
        <f>'Ayguevives ET'!A5+'Montbrun AS'!A5+'Odars CN'!A5</f>
        <v>120555</v>
      </c>
      <c r="B5" s="2">
        <f>'Ayguevives ET'!B5+'Montbrun AS'!B5+'Odars CN'!B5</f>
        <v>2700</v>
      </c>
      <c r="C5" s="9">
        <f>'Ayguevives ET'!C5+'Montbrun AS'!C5+'Odars CN'!C5</f>
        <v>2950</v>
      </c>
      <c r="D5" s="2">
        <f>'Ayguevives ET'!D5+'Montbrun AS'!D5+'Odars CN'!D5</f>
        <v>3219</v>
      </c>
      <c r="E5" s="2">
        <f>'Ayguevives ET'!E5+'Montbrun AS'!E5+'Odars CN'!E5</f>
        <v>3975</v>
      </c>
      <c r="F5" s="2">
        <f>'Ayguevives ET'!F5+'Montbrun AS'!F5+'Odars CN'!F5</f>
        <v>130616.5</v>
      </c>
    </row>
    <row r="7" spans="1:6" ht="15">
      <c r="A7" t="s">
        <v>8</v>
      </c>
    </row>
    <row r="8" spans="1:6">
      <c r="A8" t="s">
        <v>9</v>
      </c>
      <c r="B8" t="s">
        <v>10</v>
      </c>
      <c r="F8" t="s">
        <v>11</v>
      </c>
    </row>
    <row r="9" spans="1:6">
      <c r="A9">
        <f>'Ayguevives ET'!A9+'Montbrun AS'!A9+'Odars CN'!A9</f>
        <v>128560</v>
      </c>
      <c r="B9">
        <v>0.1207</v>
      </c>
      <c r="F9" s="2">
        <f>A9*B9</f>
        <v>15517.192000000001</v>
      </c>
    </row>
    <row r="11" spans="1:6" ht="15">
      <c r="A11" s="3" t="s">
        <v>12</v>
      </c>
    </row>
    <row r="12" spans="1:6">
      <c r="A12" t="s">
        <v>13</v>
      </c>
      <c r="B12" t="s">
        <v>14</v>
      </c>
      <c r="C12" s="9" t="s">
        <v>15</v>
      </c>
      <c r="D12" t="s">
        <v>16</v>
      </c>
      <c r="E12" t="s">
        <v>17</v>
      </c>
      <c r="F12" t="s">
        <v>18</v>
      </c>
    </row>
    <row r="13" spans="1:6">
      <c r="A13" s="4">
        <f>'Ayguevives ET'!A13+'Montbrun AS'!A13+'Odars CN'!A13</f>
        <v>900</v>
      </c>
      <c r="B13" s="4">
        <f>'Ayguevives ET'!B13+'Montbrun AS'!B13+'Odars CN'!B13</f>
        <v>600</v>
      </c>
      <c r="C13" s="9">
        <f>'Ayguevives ET'!C13+'Montbrun AS'!C13+'Odars CN'!C13</f>
        <v>600</v>
      </c>
      <c r="D13" s="4">
        <f>'Ayguevives ET'!D13+'Montbrun AS'!D13+'Odars CN'!D13</f>
        <v>105</v>
      </c>
      <c r="E13" s="4">
        <f>'Ayguevives ET'!E13+'Montbrun AS'!E13+'Odars CN'!E13</f>
        <v>750</v>
      </c>
      <c r="F13" s="4">
        <f>'Ayguevives ET'!F13+'Montbrun AS'!F13+'Odars CN'!F13</f>
        <v>2955</v>
      </c>
    </row>
    <row r="14" spans="1:6">
      <c r="A14" s="4"/>
      <c r="F14" s="2"/>
    </row>
    <row r="15" spans="1:6">
      <c r="A15" s="5" t="s">
        <v>19</v>
      </c>
      <c r="F15" s="2"/>
    </row>
    <row r="16" spans="1:6">
      <c r="A16" t="s">
        <v>20</v>
      </c>
      <c r="B16" s="6">
        <v>0.02</v>
      </c>
      <c r="D16" t="s">
        <v>21</v>
      </c>
      <c r="E16" s="6">
        <v>4.0000000000000001E-3</v>
      </c>
    </row>
    <row r="17" spans="1:3">
      <c r="A17" t="s">
        <v>22</v>
      </c>
      <c r="B17" s="2">
        <f>B20+NPV(B16,B21:B40)</f>
        <v>58015.238463292131</v>
      </c>
    </row>
    <row r="18" spans="1:3">
      <c r="A18" t="s">
        <v>23</v>
      </c>
      <c r="B18" s="6">
        <f>IRR(B20:B40)</f>
        <v>6.3133530749116762E-2</v>
      </c>
    </row>
    <row r="20" spans="1:3">
      <c r="A20" t="s">
        <v>1</v>
      </c>
      <c r="B20" s="2">
        <f>-F5</f>
        <v>-130616.5</v>
      </c>
      <c r="C20" s="9">
        <f>-F5</f>
        <v>-130616.5</v>
      </c>
    </row>
    <row r="21" spans="1:3">
      <c r="A21" t="s">
        <v>24</v>
      </c>
      <c r="B21" s="2">
        <f>'Ayguevives ET'!B21+'Montbrun AS'!B21+'Odars CN'!B21</f>
        <v>12508.204484751406</v>
      </c>
      <c r="C21" s="9">
        <f>C20+B21</f>
        <v>-118108.2955152486</v>
      </c>
    </row>
    <row r="22" spans="1:3">
      <c r="A22" t="s">
        <v>25</v>
      </c>
      <c r="B22" s="2">
        <f>'Ayguevives ET'!B22+'Montbrun AS'!B22+'Odars CN'!B22</f>
        <v>12393.085354357008</v>
      </c>
      <c r="C22" s="9">
        <f t="shared" ref="C22:C40" si="0">C21+B22</f>
        <v>-105715.21016089158</v>
      </c>
    </row>
    <row r="23" spans="1:3">
      <c r="A23" t="s">
        <v>26</v>
      </c>
      <c r="B23" s="2">
        <f>'Ayguevives ET'!B23+'Montbrun AS'!B23+'Odars CN'!B23</f>
        <v>12278.895445105303</v>
      </c>
      <c r="C23" s="9">
        <f t="shared" si="0"/>
        <v>-93436.314715786284</v>
      </c>
    </row>
    <row r="24" spans="1:3">
      <c r="A24" t="s">
        <v>27</v>
      </c>
      <c r="B24" s="2">
        <f>'Ayguevives ET'!B24+'Montbrun AS'!B24+'Odars CN'!B24</f>
        <v>12165.62689410141</v>
      </c>
      <c r="C24" s="9">
        <f t="shared" si="0"/>
        <v>-81270.687821684871</v>
      </c>
    </row>
    <row r="25" spans="1:3">
      <c r="A25" t="s">
        <v>28</v>
      </c>
      <c r="B25" s="2">
        <f>'Ayguevives ET'!B25+'Montbrun AS'!B25+'Odars CN'!B25</f>
        <v>12053.27190666255</v>
      </c>
      <c r="C25" s="9">
        <f t="shared" si="0"/>
        <v>-69217.415915022313</v>
      </c>
    </row>
    <row r="26" spans="1:3">
      <c r="A26" t="s">
        <v>29</v>
      </c>
      <c r="B26" s="2">
        <f>'Ayguevives ET'!B26+'Montbrun AS'!B26+'Odars CN'!B26</f>
        <v>11941.822755718897</v>
      </c>
      <c r="C26" s="9">
        <f t="shared" si="0"/>
        <v>-57275.593159303418</v>
      </c>
    </row>
    <row r="27" spans="1:3">
      <c r="A27" t="s">
        <v>30</v>
      </c>
      <c r="B27" s="2">
        <f>'Ayguevives ET'!B27+'Montbrun AS'!B27+'Odars CN'!B27</f>
        <v>11831.271781219693</v>
      </c>
      <c r="C27" s="9">
        <f t="shared" si="0"/>
        <v>-45444.321378083725</v>
      </c>
    </row>
    <row r="28" spans="1:3">
      <c r="A28" t="s">
        <v>31</v>
      </c>
      <c r="B28" s="2">
        <f>'Ayguevives ET'!B28+'Montbrun AS'!B28+'Odars CN'!B28</f>
        <v>11721.611389544643</v>
      </c>
      <c r="C28" s="9">
        <f t="shared" si="0"/>
        <v>-33722.709988539078</v>
      </c>
    </row>
    <row r="29" spans="1:3">
      <c r="A29" t="s">
        <v>32</v>
      </c>
      <c r="B29" s="2">
        <f>'Ayguevives ET'!B29+'Montbrun AS'!B29+'Odars CN'!B29</f>
        <v>11612.834052920491</v>
      </c>
      <c r="C29" s="9">
        <f t="shared" si="0"/>
        <v>-22109.875935618587</v>
      </c>
    </row>
    <row r="30" spans="1:3">
      <c r="A30" t="s">
        <v>33</v>
      </c>
      <c r="B30" s="2">
        <f>'Ayguevives ET'!B30+'Montbrun AS'!B30+'Odars CN'!B30</f>
        <v>11504.932308842761</v>
      </c>
      <c r="C30" s="9">
        <f t="shared" si="0"/>
        <v>-10604.943626775826</v>
      </c>
    </row>
    <row r="31" spans="1:3">
      <c r="A31" t="s">
        <v>34</v>
      </c>
      <c r="B31" s="2">
        <f>'Ayguevives ET'!B31+'Montbrun AS'!B31+'Odars CN'!B31</f>
        <v>11397.898759502588</v>
      </c>
      <c r="C31" s="9">
        <f t="shared" si="0"/>
        <v>792.9551327267618</v>
      </c>
    </row>
    <row r="32" spans="1:3">
      <c r="A32" t="s">
        <v>35</v>
      </c>
      <c r="B32" s="2">
        <f>'Ayguevives ET'!B32+'Montbrun AS'!B32+'Odars CN'!B32</f>
        <v>11291.726071218653</v>
      </c>
      <c r="C32" s="9">
        <f t="shared" si="0"/>
        <v>12084.681203945414</v>
      </c>
    </row>
    <row r="33" spans="1:5">
      <c r="A33" t="s">
        <v>36</v>
      </c>
      <c r="B33" s="2">
        <f>'Ayguevives ET'!B33+'Montbrun AS'!B33+'Odars CN'!B33</f>
        <v>11186.406973874093</v>
      </c>
      <c r="C33" s="9">
        <f t="shared" si="0"/>
        <v>23271.088177819507</v>
      </c>
    </row>
    <row r="34" spans="1:5">
      <c r="A34" t="s">
        <v>37</v>
      </c>
      <c r="B34" s="2">
        <f>'Ayguevives ET'!B34+'Montbrun AS'!B34+'Odars CN'!B34</f>
        <v>11081.934260358415</v>
      </c>
      <c r="C34" s="9">
        <f t="shared" si="0"/>
        <v>34353.022438177926</v>
      </c>
    </row>
    <row r="35" spans="1:5">
      <c r="A35" t="s">
        <v>38</v>
      </c>
      <c r="B35" s="2">
        <f>'Ayguevives ET'!B35+'Montbrun AS'!B35+'Odars CN'!B35</f>
        <v>10978.300786014333</v>
      </c>
      <c r="C35" s="9">
        <f t="shared" si="0"/>
        <v>45331.32322419226</v>
      </c>
    </row>
    <row r="36" spans="1:5">
      <c r="A36" t="s">
        <v>39</v>
      </c>
      <c r="B36" s="2">
        <f>'Ayguevives ET'!B36+'Montbrun AS'!B36+'Odars CN'!B36</f>
        <v>10875.499468089489</v>
      </c>
      <c r="C36" s="9">
        <f t="shared" si="0"/>
        <v>56206.822692281748</v>
      </c>
    </row>
    <row r="37" spans="1:5">
      <c r="A37" t="s">
        <v>40</v>
      </c>
      <c r="B37" s="2">
        <f>'Ayguevives ET'!B37+'Montbrun AS'!B37+'Odars CN'!B37</f>
        <v>10773.52328519302</v>
      </c>
      <c r="C37" s="9">
        <f t="shared" si="0"/>
        <v>66980.345977474761</v>
      </c>
    </row>
    <row r="38" spans="1:5">
      <c r="A38" t="s">
        <v>41</v>
      </c>
      <c r="B38" s="2">
        <f>'Ayguevives ET'!B38+'Montbrun AS'!B38+'Odars CN'!B38</f>
        <v>10672.365276756929</v>
      </c>
      <c r="C38" s="9">
        <f t="shared" si="0"/>
        <v>77652.71125423169</v>
      </c>
    </row>
    <row r="39" spans="1:5">
      <c r="A39" t="s">
        <v>42</v>
      </c>
      <c r="B39" s="2">
        <f>'Ayguevives ET'!B39+'Montbrun AS'!B39+'Odars CN'!B39</f>
        <v>10572.018542502206</v>
      </c>
      <c r="C39" s="9">
        <f t="shared" si="0"/>
        <v>88224.729796733896</v>
      </c>
    </row>
    <row r="40" spans="1:5">
      <c r="A40" t="s">
        <v>43</v>
      </c>
      <c r="B40" s="2">
        <f>'Ayguevives ET'!B40+'Montbrun AS'!B40+'Odars CN'!B40</f>
        <v>10472.476241909673</v>
      </c>
      <c r="C40" s="9">
        <f t="shared" si="0"/>
        <v>98697.206038643577</v>
      </c>
    </row>
    <row r="45" spans="1:5">
      <c r="A45" s="5" t="s">
        <v>44</v>
      </c>
      <c r="D45" t="s">
        <v>45</v>
      </c>
      <c r="E45" s="2">
        <f>3*1990</f>
        <v>5970</v>
      </c>
    </row>
    <row r="46" spans="1:5">
      <c r="A46" t="s">
        <v>20</v>
      </c>
      <c r="B46" s="6">
        <v>0.02</v>
      </c>
    </row>
    <row r="47" spans="1:5">
      <c r="A47" t="s">
        <v>22</v>
      </c>
      <c r="B47" s="2">
        <f>B50+NPV(B46,B51:B70)</f>
        <v>53117.759113037464</v>
      </c>
    </row>
    <row r="48" spans="1:5">
      <c r="A48" t="s">
        <v>23</v>
      </c>
      <c r="B48" s="6">
        <f>IRR(B50:B70)</f>
        <v>5.9897384846622659E-2</v>
      </c>
    </row>
    <row r="50" spans="1:3">
      <c r="A50" t="s">
        <v>1</v>
      </c>
      <c r="B50" s="2">
        <f>-F5</f>
        <v>-130616.5</v>
      </c>
      <c r="C50" s="9">
        <f>-F5</f>
        <v>-130616.5</v>
      </c>
    </row>
    <row r="51" spans="1:3">
      <c r="A51" t="s">
        <v>24</v>
      </c>
      <c r="B51" s="2">
        <f>'Ayguevives ET'!B60+'Montbrun AS'!B60+'Odars CN'!B60</f>
        <v>12508.204484751406</v>
      </c>
      <c r="C51" s="9">
        <f>C50+B51</f>
        <v>-118108.2955152486</v>
      </c>
    </row>
    <row r="52" spans="1:3">
      <c r="A52" t="s">
        <v>25</v>
      </c>
      <c r="B52" s="2">
        <f>'Ayguevives ET'!B61+'Montbrun AS'!B61+'Odars CN'!B61</f>
        <v>12393.085354357008</v>
      </c>
      <c r="C52" s="9">
        <f t="shared" ref="C52:C70" si="1">C51+B52</f>
        <v>-105715.21016089158</v>
      </c>
    </row>
    <row r="53" spans="1:3">
      <c r="A53" t="s">
        <v>26</v>
      </c>
      <c r="B53" s="2">
        <f>'Ayguevives ET'!B62+'Montbrun AS'!B62+'Odars CN'!B62</f>
        <v>12278.895445105303</v>
      </c>
      <c r="C53" s="9">
        <f t="shared" si="1"/>
        <v>-93436.314715786284</v>
      </c>
    </row>
    <row r="54" spans="1:3">
      <c r="A54" t="s">
        <v>27</v>
      </c>
      <c r="B54" s="2">
        <f>'Ayguevives ET'!B63+'Montbrun AS'!B63+'Odars CN'!B63</f>
        <v>12165.62689410141</v>
      </c>
      <c r="C54" s="9">
        <f t="shared" si="1"/>
        <v>-81270.687821684871</v>
      </c>
    </row>
    <row r="55" spans="1:3">
      <c r="A55" t="s">
        <v>28</v>
      </c>
      <c r="B55" s="2">
        <f>'Ayguevives ET'!B64+'Montbrun AS'!B64+'Odars CN'!B64</f>
        <v>12053.27190666255</v>
      </c>
      <c r="C55" s="9">
        <f t="shared" si="1"/>
        <v>-69217.415915022313</v>
      </c>
    </row>
    <row r="56" spans="1:3">
      <c r="A56" t="s">
        <v>29</v>
      </c>
      <c r="B56" s="2">
        <f>'Ayguevives ET'!B65+'Montbrun AS'!B65+'Odars CN'!B65</f>
        <v>11941.822755718897</v>
      </c>
      <c r="C56" s="9">
        <f t="shared" si="1"/>
        <v>-57275.593159303418</v>
      </c>
    </row>
    <row r="57" spans="1:3">
      <c r="A57" t="s">
        <v>30</v>
      </c>
      <c r="B57" s="2">
        <f>'Ayguevives ET'!B66+'Montbrun AS'!B66+'Odars CN'!B66</f>
        <v>11831.271781219693</v>
      </c>
      <c r="C57" s="9">
        <f t="shared" si="1"/>
        <v>-45444.321378083725</v>
      </c>
    </row>
    <row r="58" spans="1:3">
      <c r="A58" t="s">
        <v>31</v>
      </c>
      <c r="B58" s="2">
        <f>'Ayguevives ET'!B67+'Montbrun AS'!B67+'Odars CN'!B67</f>
        <v>11721.611389544643</v>
      </c>
      <c r="C58" s="9">
        <f t="shared" si="1"/>
        <v>-33722.709988539078</v>
      </c>
    </row>
    <row r="59" spans="1:3">
      <c r="A59" t="s">
        <v>32</v>
      </c>
      <c r="B59" s="2">
        <f>'Ayguevives ET'!B68+'Montbrun AS'!B68+'Odars CN'!B68</f>
        <v>11612.834052920491</v>
      </c>
      <c r="C59" s="9">
        <f t="shared" si="1"/>
        <v>-22109.875935618587</v>
      </c>
    </row>
    <row r="60" spans="1:3">
      <c r="A60" t="s">
        <v>33</v>
      </c>
      <c r="B60" s="2">
        <f>'Ayguevives ET'!B69+'Montbrun AS'!B69+'Odars CN'!B69</f>
        <v>5534.9323088427609</v>
      </c>
      <c r="C60" s="9">
        <f t="shared" si="1"/>
        <v>-16574.943626775828</v>
      </c>
    </row>
    <row r="61" spans="1:3">
      <c r="A61" t="s">
        <v>34</v>
      </c>
      <c r="B61" s="2">
        <f>'Ayguevives ET'!B70+'Montbrun AS'!B70+'Odars CN'!B70</f>
        <v>11397.898759502588</v>
      </c>
      <c r="C61" s="9">
        <f t="shared" si="1"/>
        <v>-5177.04486727324</v>
      </c>
    </row>
    <row r="62" spans="1:3">
      <c r="A62" t="s">
        <v>35</v>
      </c>
      <c r="B62" s="2">
        <f>'Ayguevives ET'!B71+'Montbrun AS'!B71+'Odars CN'!B71</f>
        <v>11291.726071218653</v>
      </c>
      <c r="C62" s="9">
        <f t="shared" si="1"/>
        <v>6114.6812039454126</v>
      </c>
    </row>
    <row r="63" spans="1:3">
      <c r="A63" t="s">
        <v>36</v>
      </c>
      <c r="B63" s="2">
        <f>'Ayguevives ET'!B72+'Montbrun AS'!B72+'Odars CN'!B72</f>
        <v>11186.406973874093</v>
      </c>
      <c r="C63" s="9">
        <f t="shared" si="1"/>
        <v>17301.088177819503</v>
      </c>
    </row>
    <row r="64" spans="1:3">
      <c r="A64" t="s">
        <v>37</v>
      </c>
      <c r="B64" s="2">
        <f>'Ayguevives ET'!B73+'Montbrun AS'!B73+'Odars CN'!B73</f>
        <v>11081.934260358415</v>
      </c>
      <c r="C64" s="9">
        <f t="shared" si="1"/>
        <v>28383.022438177919</v>
      </c>
    </row>
    <row r="65" spans="1:3">
      <c r="A65" t="s">
        <v>38</v>
      </c>
      <c r="B65" s="2">
        <f>'Ayguevives ET'!B74+'Montbrun AS'!B74+'Odars CN'!B74</f>
        <v>10978.300786014333</v>
      </c>
      <c r="C65" s="9">
        <f t="shared" si="1"/>
        <v>39361.323224192252</v>
      </c>
    </row>
    <row r="66" spans="1:3">
      <c r="A66" t="s">
        <v>39</v>
      </c>
      <c r="B66" s="2">
        <f>'Ayguevives ET'!B75+'Montbrun AS'!B75+'Odars CN'!B75</f>
        <v>10875.499468089489</v>
      </c>
      <c r="C66" s="9">
        <f t="shared" si="1"/>
        <v>50236.822692281741</v>
      </c>
    </row>
    <row r="67" spans="1:3">
      <c r="A67" t="s">
        <v>40</v>
      </c>
      <c r="B67" s="2">
        <f>'Ayguevives ET'!B76+'Montbrun AS'!B76+'Odars CN'!B76</f>
        <v>10773.52328519302</v>
      </c>
      <c r="C67" s="9">
        <f t="shared" si="1"/>
        <v>61010.345977474761</v>
      </c>
    </row>
    <row r="68" spans="1:3">
      <c r="A68" t="s">
        <v>41</v>
      </c>
      <c r="B68" s="2">
        <f>'Ayguevives ET'!B77+'Montbrun AS'!B77+'Odars CN'!B77</f>
        <v>10672.365276756929</v>
      </c>
      <c r="C68" s="9">
        <f t="shared" si="1"/>
        <v>71682.71125423169</v>
      </c>
    </row>
    <row r="69" spans="1:3">
      <c r="A69" t="s">
        <v>42</v>
      </c>
      <c r="B69" s="2">
        <f>'Ayguevives ET'!B78+'Montbrun AS'!B78+'Odars CN'!B78</f>
        <v>10572.018542502206</v>
      </c>
      <c r="C69" s="9">
        <f t="shared" si="1"/>
        <v>82254.729796733896</v>
      </c>
    </row>
    <row r="70" spans="1:3">
      <c r="A70" t="s">
        <v>43</v>
      </c>
      <c r="B70" s="2">
        <f>'Ayguevives ET'!B79+'Montbrun AS'!B79+'Odars CN'!B79</f>
        <v>10472.476241909673</v>
      </c>
      <c r="C70" s="9">
        <f t="shared" si="1"/>
        <v>92727.206038643577</v>
      </c>
    </row>
  </sheetData>
  <pageMargins left="0" right="0" top="0.39370078740157477" bottom="0.39370078740157477" header="0" footer="0"/>
  <pageSetup paperSize="9" orientation="portrait" horizontalDpi="0" verticalDpi="0" r:id="rId1"/>
  <headerFooter>
    <oddHeader>&amp;C&amp;A</oddHeader>
    <oddFooter>&amp;CPage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9"/>
  <sheetViews>
    <sheetView topLeftCell="A7" workbookViewId="0">
      <selection activeCell="B20" sqref="B20"/>
    </sheetView>
  </sheetViews>
  <sheetFormatPr baseColWidth="10" defaultRowHeight="14.25"/>
  <cols>
    <col min="1" max="1" width="19.875" customWidth="1"/>
    <col min="2" max="2" width="13.125" customWidth="1"/>
    <col min="3" max="3" width="15.375" customWidth="1"/>
    <col min="4" max="4" width="12.25" customWidth="1"/>
    <col min="5" max="6" width="10.625" customWidth="1"/>
  </cols>
  <sheetData>
    <row r="1" spans="1:6" ht="15">
      <c r="A1" s="1" t="s">
        <v>46</v>
      </c>
    </row>
    <row r="3" spans="1:6" ht="15">
      <c r="A3" s="1" t="s">
        <v>1</v>
      </c>
    </row>
    <row r="4" spans="1:6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</row>
    <row r="5" spans="1:6">
      <c r="A5" s="2">
        <v>41568</v>
      </c>
      <c r="B5" s="2">
        <v>1350</v>
      </c>
      <c r="C5" s="2">
        <v>1200</v>
      </c>
      <c r="D5" s="2">
        <v>1073</v>
      </c>
      <c r="E5" s="2">
        <v>1325</v>
      </c>
      <c r="F5" s="2">
        <f>SUM(A5:D5)+0.3*E5</f>
        <v>45588.5</v>
      </c>
    </row>
    <row r="7" spans="1:6" ht="15">
      <c r="A7" t="s">
        <v>8</v>
      </c>
    </row>
    <row r="8" spans="1:6">
      <c r="A8" t="s">
        <v>9</v>
      </c>
      <c r="B8" t="s">
        <v>10</v>
      </c>
      <c r="F8" t="s">
        <v>11</v>
      </c>
    </row>
    <row r="9" spans="1:6">
      <c r="A9">
        <v>44550</v>
      </c>
      <c r="B9">
        <v>0.1207</v>
      </c>
      <c r="F9" s="2">
        <f>A9*B9</f>
        <v>5377.1850000000004</v>
      </c>
    </row>
    <row r="11" spans="1:6" ht="15">
      <c r="A11" s="3" t="s">
        <v>12</v>
      </c>
    </row>
    <row r="12" spans="1:6">
      <c r="A12" t="s">
        <v>13</v>
      </c>
      <c r="B12" t="s">
        <v>14</v>
      </c>
      <c r="C12" t="s">
        <v>15</v>
      </c>
      <c r="D12" t="s">
        <v>16</v>
      </c>
      <c r="E12" t="s">
        <v>17</v>
      </c>
      <c r="F12" t="s">
        <v>18</v>
      </c>
    </row>
    <row r="13" spans="1:6">
      <c r="A13" s="4">
        <v>300</v>
      </c>
      <c r="B13">
        <v>200</v>
      </c>
      <c r="C13">
        <v>200</v>
      </c>
      <c r="D13">
        <v>35</v>
      </c>
      <c r="E13">
        <v>250</v>
      </c>
      <c r="F13" s="2">
        <f>SUM(A13:E13)</f>
        <v>985</v>
      </c>
    </row>
    <row r="14" spans="1:6">
      <c r="A14" s="4"/>
      <c r="F14" s="2"/>
    </row>
    <row r="15" spans="1:6">
      <c r="A15" s="5" t="s">
        <v>19</v>
      </c>
      <c r="F15" s="2"/>
    </row>
    <row r="16" spans="1:6">
      <c r="A16" t="s">
        <v>20</v>
      </c>
      <c r="B16" s="6">
        <v>0.02</v>
      </c>
      <c r="D16" t="s">
        <v>21</v>
      </c>
      <c r="E16" s="6">
        <v>4.0000000000000001E-3</v>
      </c>
    </row>
    <row r="17" spans="1:2">
      <c r="A17" t="s">
        <v>22</v>
      </c>
      <c r="B17" s="2">
        <f>B20+NPV(B16,B21:B40)</f>
        <v>19262.869034471012</v>
      </c>
    </row>
    <row r="18" spans="1:2">
      <c r="A18" t="s">
        <v>23</v>
      </c>
      <c r="B18" s="6">
        <f>IRR(B20:B40)</f>
        <v>6.1484188447328947E-2</v>
      </c>
    </row>
    <row r="20" spans="1:2">
      <c r="A20" t="s">
        <v>1</v>
      </c>
      <c r="B20" s="2">
        <f>-F5</f>
        <v>-45588.5</v>
      </c>
    </row>
    <row r="21" spans="1:2">
      <c r="A21" t="s">
        <v>24</v>
      </c>
      <c r="B21" s="2">
        <f>$F$9*'pertes rdt'!B8*(1+$E$16)-$F$13</f>
        <v>4365.7208077606383</v>
      </c>
    </row>
    <row r="22" spans="1:2">
      <c r="A22" t="s">
        <v>25</v>
      </c>
      <c r="B22" s="2">
        <f>$F$9*'pertes rdt'!B9*(1+$E$16)-$F$13</f>
        <v>4318.1741642382294</v>
      </c>
    </row>
    <row r="23" spans="1:2">
      <c r="A23" t="s">
        <v>26</v>
      </c>
      <c r="B23" s="2">
        <f>$F$9*'pertes rdt'!B10*(1+$E$16)-$F$13</f>
        <v>4271.0500214202057</v>
      </c>
    </row>
    <row r="24" spans="1:2">
      <c r="A24" t="s">
        <v>27</v>
      </c>
      <c r="B24" s="2">
        <f>$F$9*'pertes rdt'!B11*(1+$E$16)-$F$13</f>
        <v>4224.3446249543767</v>
      </c>
    </row>
    <row r="25" spans="1:2">
      <c r="A25" t="s">
        <v>28</v>
      </c>
      <c r="B25" s="2">
        <f>$F$9*'pertes rdt'!B12*(1+$E$16)-$F$13</f>
        <v>4178.0542538498248</v>
      </c>
    </row>
    <row r="26" spans="1:2">
      <c r="A26" t="s">
        <v>29</v>
      </c>
      <c r="B26" s="2">
        <f>$F$9*'pertes rdt'!B13*(1+$E$16)-$F$13</f>
        <v>4132.1752201804538</v>
      </c>
    </row>
    <row r="27" spans="1:2">
      <c r="A27" t="s">
        <v>30</v>
      </c>
      <c r="B27" s="2">
        <f>$F$9*'pertes rdt'!B14*(1+$E$16)-$F$13</f>
        <v>4086.7038687911718</v>
      </c>
    </row>
    <row r="28" spans="1:2">
      <c r="A28" t="s">
        <v>31</v>
      </c>
      <c r="B28" s="2">
        <f>$F$9*'pertes rdt'!B15*(1+$E$16)-$F$13</f>
        <v>4041.6365770066914</v>
      </c>
    </row>
    <row r="29" spans="1:2">
      <c r="A29" t="s">
        <v>32</v>
      </c>
      <c r="B29" s="2">
        <f>$F$9*'pertes rdt'!B16*(1+$E$16)-$F$13</f>
        <v>3996.9697543429111</v>
      </c>
    </row>
    <row r="30" spans="1:2">
      <c r="A30" t="s">
        <v>33</v>
      </c>
      <c r="B30" s="2">
        <f>$F$9*'pertes rdt'!B17*(1+$E$16)-$F$13</f>
        <v>3952.6998422208653</v>
      </c>
    </row>
    <row r="31" spans="1:2">
      <c r="A31" t="s">
        <v>34</v>
      </c>
      <c r="B31" s="2">
        <f>$F$9*'pertes rdt'!B18*(1+$E$16)-$F$13</f>
        <v>3908.8233136832105</v>
      </c>
    </row>
    <row r="32" spans="1:2">
      <c r="A32" t="s">
        <v>35</v>
      </c>
      <c r="B32" s="2">
        <f>$F$9*'pertes rdt'!B19*(1+$E$16)-$F$13</f>
        <v>3865.3366731132392</v>
      </c>
    </row>
    <row r="33" spans="1:2">
      <c r="A33" t="s">
        <v>36</v>
      </c>
      <c r="B33" s="2">
        <f>$F$9*'pertes rdt'!B20*(1+$E$16)-$F$13</f>
        <v>3822.2364559563848</v>
      </c>
    </row>
    <row r="34" spans="1:2">
      <c r="A34" t="s">
        <v>37</v>
      </c>
      <c r="B34" s="2">
        <f>$F$9*'pertes rdt'!B21*(1+$E$16)-$F$13</f>
        <v>3779.519228444201</v>
      </c>
    </row>
    <row r="35" spans="1:2">
      <c r="A35" t="s">
        <v>38</v>
      </c>
      <c r="B35" s="2">
        <f>$F$9*'pertes rdt'!B22*(1+$E$16)-$F$13</f>
        <v>3737.1815873207961</v>
      </c>
    </row>
    <row r="36" spans="1:2">
      <c r="A36" t="s">
        <v>39</v>
      </c>
      <c r="B36" s="2">
        <f>$F$9*'pertes rdt'!B23*(1+$E$16)-$F$13</f>
        <v>3695.2201595717015</v>
      </c>
    </row>
    <row r="37" spans="1:2">
      <c r="A37" t="s">
        <v>40</v>
      </c>
      <c r="B37" s="2">
        <f>$F$9*'pertes rdt'!B24*(1+$E$16)-$F$13</f>
        <v>3653.6316021551384</v>
      </c>
    </row>
    <row r="38" spans="1:2">
      <c r="A38" t="s">
        <v>41</v>
      </c>
      <c r="B38" s="2">
        <f>$F$9*'pertes rdt'!B25*(1+$E$16)-$F$13</f>
        <v>3612.4126017356875</v>
      </c>
    </row>
    <row r="39" spans="1:2">
      <c r="A39" t="s">
        <v>42</v>
      </c>
      <c r="B39" s="2">
        <f>$F$9*'pertes rdt'!B26*(1+$E$16)-$F$13</f>
        <v>3571.5598744203107</v>
      </c>
    </row>
    <row r="40" spans="1:2">
      <c r="A40" t="s">
        <v>43</v>
      </c>
      <c r="B40" s="2">
        <f>$F$9*'pertes rdt'!B27*(1+$E$16)-$F$13</f>
        <v>3531.0701654967297</v>
      </c>
    </row>
    <row r="54" spans="1:5">
      <c r="A54" s="5" t="s">
        <v>47</v>
      </c>
      <c r="D54" t="s">
        <v>45</v>
      </c>
      <c r="E54" s="2">
        <v>1990</v>
      </c>
    </row>
    <row r="55" spans="1:5">
      <c r="A55" t="s">
        <v>20</v>
      </c>
      <c r="B55" s="6">
        <v>0.02</v>
      </c>
    </row>
    <row r="56" spans="1:5">
      <c r="A56" t="s">
        <v>22</v>
      </c>
      <c r="B56" s="2">
        <f>B59+NPV(B55,B60:B79)</f>
        <v>17630.375917719452</v>
      </c>
    </row>
    <row r="57" spans="1:5">
      <c r="A57" t="s">
        <v>23</v>
      </c>
      <c r="B57" s="6">
        <f>IRR(B59:B79)</f>
        <v>5.8348095216678608E-2</v>
      </c>
    </row>
    <row r="59" spans="1:5">
      <c r="A59" t="s">
        <v>1</v>
      </c>
      <c r="B59" s="2">
        <f>-F5</f>
        <v>-45588.5</v>
      </c>
    </row>
    <row r="60" spans="1:5">
      <c r="A60" t="s">
        <v>24</v>
      </c>
      <c r="B60" s="2">
        <f>$F$9*'pertes rdt'!B8*(1+$E$16)-$F$13</f>
        <v>4365.7208077606383</v>
      </c>
    </row>
    <row r="61" spans="1:5">
      <c r="A61" t="s">
        <v>25</v>
      </c>
      <c r="B61" s="2">
        <f>$F$9*'pertes rdt'!B9*(1+$E$16)-$F$13</f>
        <v>4318.1741642382294</v>
      </c>
    </row>
    <row r="62" spans="1:5">
      <c r="A62" t="s">
        <v>26</v>
      </c>
      <c r="B62" s="2">
        <f>$F$9*'pertes rdt'!B10*(1+$E$16)-$F$13</f>
        <v>4271.0500214202057</v>
      </c>
    </row>
    <row r="63" spans="1:5">
      <c r="A63" t="s">
        <v>27</v>
      </c>
      <c r="B63" s="2">
        <f>$F$9*'pertes rdt'!B11*(1+$E$16)-$F$13</f>
        <v>4224.3446249543767</v>
      </c>
    </row>
    <row r="64" spans="1:5">
      <c r="A64" t="s">
        <v>28</v>
      </c>
      <c r="B64" s="2">
        <f>$F$9*'pertes rdt'!B12*(1+$E$16)-$F$13</f>
        <v>4178.0542538498248</v>
      </c>
    </row>
    <row r="65" spans="1:2">
      <c r="A65" t="s">
        <v>29</v>
      </c>
      <c r="B65" s="2">
        <f>$F$9*'pertes rdt'!B13*(1+$E$16)-$F$13</f>
        <v>4132.1752201804538</v>
      </c>
    </row>
    <row r="66" spans="1:2">
      <c r="A66" t="s">
        <v>30</v>
      </c>
      <c r="B66" s="2">
        <f>$F$9*'pertes rdt'!B14*(1+$E$16)-$F$13</f>
        <v>4086.7038687911718</v>
      </c>
    </row>
    <row r="67" spans="1:2">
      <c r="A67" t="s">
        <v>31</v>
      </c>
      <c r="B67" s="2">
        <f>$F$9*'pertes rdt'!B15*(1+$E$16)-$F$13</f>
        <v>4041.6365770066914</v>
      </c>
    </row>
    <row r="68" spans="1:2">
      <c r="A68" t="s">
        <v>32</v>
      </c>
      <c r="B68" s="2">
        <f>$F$9*'pertes rdt'!B16*(1+$E$16)-$F$13</f>
        <v>3996.9697543429111</v>
      </c>
    </row>
    <row r="69" spans="1:2">
      <c r="A69" t="s">
        <v>33</v>
      </c>
      <c r="B69" s="2">
        <f>$F$9*'pertes rdt'!B17*(1+$E$16)-$F$13-$E$54</f>
        <v>1962.6998422208653</v>
      </c>
    </row>
    <row r="70" spans="1:2">
      <c r="A70" t="s">
        <v>34</v>
      </c>
      <c r="B70" s="2">
        <f>$F$9*'pertes rdt'!B18*(1+$E$16)-$F$13</f>
        <v>3908.8233136832105</v>
      </c>
    </row>
    <row r="71" spans="1:2">
      <c r="A71" t="s">
        <v>35</v>
      </c>
      <c r="B71" s="2">
        <f>$F$9*'pertes rdt'!B19*(1+$E$16)-$F$13</f>
        <v>3865.3366731132392</v>
      </c>
    </row>
    <row r="72" spans="1:2">
      <c r="A72" t="s">
        <v>36</v>
      </c>
      <c r="B72" s="2">
        <f>$F$9*'pertes rdt'!B20*(1+$E$16)-$F$13</f>
        <v>3822.2364559563848</v>
      </c>
    </row>
    <row r="73" spans="1:2">
      <c r="A73" t="s">
        <v>37</v>
      </c>
      <c r="B73" s="2">
        <f>$F$9*'pertes rdt'!B21*(1+$E$16)-$F$13</f>
        <v>3779.519228444201</v>
      </c>
    </row>
    <row r="74" spans="1:2">
      <c r="A74" t="s">
        <v>38</v>
      </c>
      <c r="B74" s="2">
        <f>$F$9*'pertes rdt'!B22*(1+$E$16)-$F$13</f>
        <v>3737.1815873207961</v>
      </c>
    </row>
    <row r="75" spans="1:2">
      <c r="A75" t="s">
        <v>39</v>
      </c>
      <c r="B75" s="2">
        <f>$F$9*'pertes rdt'!B23*(1+$E$16)-$F$13</f>
        <v>3695.2201595717015</v>
      </c>
    </row>
    <row r="76" spans="1:2">
      <c r="A76" t="s">
        <v>40</v>
      </c>
      <c r="B76" s="2">
        <f>$F$9*'pertes rdt'!B24*(1+$E$16)-$F$13</f>
        <v>3653.6316021551384</v>
      </c>
    </row>
    <row r="77" spans="1:2">
      <c r="A77" t="s">
        <v>41</v>
      </c>
      <c r="B77" s="2">
        <f>$F$9*'pertes rdt'!B25*(1+$E$16)-$F$13</f>
        <v>3612.4126017356875</v>
      </c>
    </row>
    <row r="78" spans="1:2">
      <c r="A78" t="s">
        <v>42</v>
      </c>
      <c r="B78" s="2">
        <f>$F$9*'pertes rdt'!B26*(1+$E$16)-$F$13</f>
        <v>3571.5598744203107</v>
      </c>
    </row>
    <row r="79" spans="1:2">
      <c r="A79" t="s">
        <v>43</v>
      </c>
      <c r="B79" s="2">
        <f>$F$9*'pertes rdt'!B27*(1+$E$16)-$F$13</f>
        <v>3531.0701654967297</v>
      </c>
    </row>
  </sheetData>
  <pageMargins left="0" right="0" top="0.39370078740157477" bottom="0.39370078740157477" header="0" footer="0"/>
  <headerFooter>
    <oddHeader>&amp;C&amp;A</oddHeader>
    <oddFooter>&amp;CPage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9"/>
  <sheetViews>
    <sheetView topLeftCell="A4" workbookViewId="0">
      <selection activeCell="E27" sqref="E27"/>
    </sheetView>
  </sheetViews>
  <sheetFormatPr baseColWidth="10" defaultRowHeight="14.25"/>
  <cols>
    <col min="1" max="1" width="20.625" customWidth="1"/>
    <col min="2" max="2" width="13.125" customWidth="1"/>
    <col min="3" max="3" width="12.25" style="10" customWidth="1"/>
    <col min="4" max="4" width="12.25" customWidth="1"/>
    <col min="5" max="6" width="10.625" customWidth="1"/>
    <col min="8" max="8" width="20.5" customWidth="1"/>
    <col min="9" max="9" width="14.75" customWidth="1"/>
    <col min="10" max="10" width="11" style="10"/>
  </cols>
  <sheetData>
    <row r="1" spans="1:13" ht="15">
      <c r="A1" s="1" t="s">
        <v>48</v>
      </c>
    </row>
    <row r="3" spans="1:13" ht="15">
      <c r="A3" s="1" t="s">
        <v>1</v>
      </c>
    </row>
    <row r="4" spans="1:13">
      <c r="A4" t="s">
        <v>2</v>
      </c>
      <c r="B4" t="s">
        <v>3</v>
      </c>
      <c r="C4" s="10" t="s">
        <v>4</v>
      </c>
      <c r="D4" t="s">
        <v>5</v>
      </c>
      <c r="E4" t="s">
        <v>6</v>
      </c>
      <c r="F4" t="s">
        <v>7</v>
      </c>
      <c r="H4" t="s">
        <v>2</v>
      </c>
      <c r="I4" t="s">
        <v>3</v>
      </c>
      <c r="J4" s="10" t="s">
        <v>4</v>
      </c>
      <c r="K4" t="s">
        <v>5</v>
      </c>
      <c r="L4" t="s">
        <v>6</v>
      </c>
      <c r="M4" t="s">
        <v>7</v>
      </c>
    </row>
    <row r="5" spans="1:13">
      <c r="A5" s="2">
        <v>42987</v>
      </c>
      <c r="B5" s="2">
        <v>1350</v>
      </c>
      <c r="C5" s="10">
        <v>1250</v>
      </c>
      <c r="D5" s="2">
        <v>1073</v>
      </c>
      <c r="E5" s="2">
        <v>1325</v>
      </c>
      <c r="F5" s="2">
        <f>SUM(A5:D5)+0.3*E5</f>
        <v>47057.5</v>
      </c>
      <c r="H5" s="2">
        <v>53985</v>
      </c>
      <c r="I5" s="2">
        <v>1350</v>
      </c>
      <c r="J5" s="10">
        <v>1250</v>
      </c>
      <c r="K5" s="2">
        <v>1073</v>
      </c>
      <c r="L5" s="2">
        <v>1325</v>
      </c>
      <c r="M5" s="2">
        <f>SUM(H5:K5)+0.3*L5</f>
        <v>58055.5</v>
      </c>
    </row>
    <row r="7" spans="1:13" ht="15">
      <c r="A7" t="s">
        <v>8</v>
      </c>
      <c r="H7" t="s">
        <v>8</v>
      </c>
    </row>
    <row r="8" spans="1:13">
      <c r="A8" t="s">
        <v>9</v>
      </c>
      <c r="B8" t="s">
        <v>10</v>
      </c>
      <c r="F8" t="s">
        <v>11</v>
      </c>
      <c r="H8" t="s">
        <v>9</v>
      </c>
      <c r="I8" t="s">
        <v>10</v>
      </c>
      <c r="M8" t="s">
        <v>11</v>
      </c>
    </row>
    <row r="9" spans="1:13">
      <c r="A9">
        <v>39460</v>
      </c>
      <c r="B9">
        <v>0.1207</v>
      </c>
      <c r="F9" s="2">
        <f>A9*B9</f>
        <v>4762.8220000000001</v>
      </c>
      <c r="H9">
        <v>36303</v>
      </c>
      <c r="I9">
        <v>0.1207</v>
      </c>
      <c r="M9" s="2">
        <f>H9*I9</f>
        <v>4381.7721000000001</v>
      </c>
    </row>
    <row r="11" spans="1:13" ht="15">
      <c r="A11" s="3" t="s">
        <v>12</v>
      </c>
      <c r="H11" s="3" t="s">
        <v>12</v>
      </c>
    </row>
    <row r="12" spans="1:13">
      <c r="A12" t="s">
        <v>13</v>
      </c>
      <c r="B12" t="s">
        <v>14</v>
      </c>
      <c r="C12" s="10" t="s">
        <v>15</v>
      </c>
      <c r="D12" t="s">
        <v>16</v>
      </c>
      <c r="E12" t="s">
        <v>17</v>
      </c>
      <c r="F12" t="s">
        <v>18</v>
      </c>
      <c r="H12" t="s">
        <v>13</v>
      </c>
      <c r="I12" t="s">
        <v>14</v>
      </c>
      <c r="J12" s="10" t="s">
        <v>15</v>
      </c>
      <c r="K12" t="s">
        <v>16</v>
      </c>
      <c r="L12" t="s">
        <v>17</v>
      </c>
      <c r="M12" t="s">
        <v>18</v>
      </c>
    </row>
    <row r="13" spans="1:13">
      <c r="A13" s="4">
        <v>300</v>
      </c>
      <c r="B13">
        <v>200</v>
      </c>
      <c r="C13" s="10">
        <v>200</v>
      </c>
      <c r="D13">
        <v>35</v>
      </c>
      <c r="E13">
        <v>250</v>
      </c>
      <c r="F13" s="2">
        <f>SUM(A13:E13)</f>
        <v>985</v>
      </c>
      <c r="H13" s="4">
        <v>300</v>
      </c>
      <c r="I13">
        <v>200</v>
      </c>
      <c r="J13" s="10">
        <v>200</v>
      </c>
      <c r="K13">
        <v>35</v>
      </c>
      <c r="L13">
        <v>250</v>
      </c>
      <c r="M13" s="2">
        <f>SUM(H13:L13)</f>
        <v>985</v>
      </c>
    </row>
    <row r="14" spans="1:13">
      <c r="A14" s="4"/>
      <c r="F14" s="2"/>
      <c r="H14" s="4"/>
      <c r="M14" s="2"/>
    </row>
    <row r="15" spans="1:13">
      <c r="A15" s="5" t="s">
        <v>19</v>
      </c>
      <c r="F15" s="2"/>
      <c r="H15" s="5" t="s">
        <v>19</v>
      </c>
      <c r="M15" s="2"/>
    </row>
    <row r="16" spans="1:13">
      <c r="A16" t="s">
        <v>20</v>
      </c>
      <c r="B16" s="6">
        <v>0.02</v>
      </c>
      <c r="D16" t="s">
        <v>21</v>
      </c>
      <c r="E16" s="6">
        <v>4.0000000000000001E-3</v>
      </c>
      <c r="H16" t="s">
        <v>20</v>
      </c>
      <c r="I16" s="6">
        <v>0.02</v>
      </c>
      <c r="K16" t="s">
        <v>21</v>
      </c>
      <c r="L16" s="6">
        <v>4.0000000000000001E-3</v>
      </c>
    </row>
    <row r="17" spans="1:10">
      <c r="A17" t="s">
        <v>22</v>
      </c>
      <c r="B17" s="2">
        <f>B20+NPV(B16,B21:B40)</f>
        <v>11871.500394350121</v>
      </c>
      <c r="H17" t="s">
        <v>22</v>
      </c>
      <c r="I17" s="2">
        <f>I20+NPV(I16,I21:I40)</f>
        <v>-5129.6928947482957</v>
      </c>
    </row>
    <row r="18" spans="1:10">
      <c r="A18" t="s">
        <v>23</v>
      </c>
      <c r="B18" s="6">
        <f>IRR(B20:B40)</f>
        <v>4.5049817503741707E-2</v>
      </c>
      <c r="H18" t="s">
        <v>23</v>
      </c>
      <c r="I18" s="6">
        <f>IRR(I20:I40)</f>
        <v>1.0433740548312809E-2</v>
      </c>
    </row>
    <row r="20" spans="1:10">
      <c r="A20" t="s">
        <v>1</v>
      </c>
      <c r="B20" s="2">
        <f>-F5</f>
        <v>-47057.5</v>
      </c>
      <c r="C20" s="10">
        <f>B20</f>
        <v>-47057.5</v>
      </c>
      <c r="H20" t="s">
        <v>1</v>
      </c>
      <c r="I20" s="2">
        <f>-M5</f>
        <v>-58055.5</v>
      </c>
      <c r="J20" s="10">
        <f>I20</f>
        <v>-58055.5</v>
      </c>
    </row>
    <row r="21" spans="1:10">
      <c r="A21" t="s">
        <v>24</v>
      </c>
      <c r="B21" s="2">
        <f>$F$9*'pertes rdt'!C8*(1+$E$16)-$F$13</f>
        <v>3776.7628692301296</v>
      </c>
      <c r="C21" s="10">
        <f>C20+B21</f>
        <v>-43280.73713076987</v>
      </c>
      <c r="H21" t="s">
        <v>24</v>
      </c>
      <c r="I21" s="2">
        <f>$M$9*'pertes rdt'!C8*(1+$E$16)-$F$13</f>
        <v>3395.7977050598429</v>
      </c>
      <c r="J21" s="10">
        <f>J20+I21</f>
        <v>-54659.702294940158</v>
      </c>
    </row>
    <row r="22" spans="1:10">
      <c r="A22" t="s">
        <v>25</v>
      </c>
      <c r="B22" s="2">
        <f>$F$9*'pertes rdt'!C9*(1+$E$16)-$F$13</f>
        <v>3756.7370258805495</v>
      </c>
      <c r="C22" s="10">
        <f t="shared" ref="C22:C40" si="0">C21+B22</f>
        <v>-39524.000104889317</v>
      </c>
      <c r="H22" t="s">
        <v>25</v>
      </c>
      <c r="I22" s="2">
        <f>$M$9*'pertes rdt'!C9*(1+$E$16)-$F$13</f>
        <v>3377.3740306776881</v>
      </c>
      <c r="J22" s="10">
        <f t="shared" ref="J22:J40" si="1">J21+I22</f>
        <v>-51282.328264262469</v>
      </c>
    </row>
    <row r="23" spans="1:10">
      <c r="A23" t="s">
        <v>26</v>
      </c>
      <c r="B23" s="2">
        <f>$F$9*'pertes rdt'!C10*(1+$E$16)-$F$13</f>
        <v>3736.7954022648919</v>
      </c>
      <c r="C23" s="10">
        <f t="shared" si="0"/>
        <v>-35787.204702624425</v>
      </c>
      <c r="H23" t="s">
        <v>26</v>
      </c>
      <c r="I23" s="2">
        <f>$M$9*'pertes rdt'!C10*(1+$E$16)-$F$13</f>
        <v>3359.0278380238824</v>
      </c>
      <c r="J23" s="10">
        <f t="shared" si="1"/>
        <v>-47923.300426238588</v>
      </c>
    </row>
    <row r="24" spans="1:10">
      <c r="A24" t="s">
        <v>27</v>
      </c>
      <c r="B24" s="2">
        <f>$F$9*'pertes rdt'!C11*(1+$E$16)-$F$13</f>
        <v>3716.9376441926561</v>
      </c>
      <c r="C24" s="10">
        <f t="shared" si="0"/>
        <v>-32070.267058431768</v>
      </c>
      <c r="H24" t="s">
        <v>27</v>
      </c>
      <c r="I24" s="2">
        <f>$M$9*'pertes rdt'!C11*(1+$E$16)-$F$13</f>
        <v>3340.7588012449569</v>
      </c>
      <c r="J24" s="10">
        <f t="shared" si="1"/>
        <v>-44582.541624993632</v>
      </c>
    </row>
    <row r="25" spans="1:10">
      <c r="A25" t="s">
        <v>28</v>
      </c>
      <c r="B25" s="2">
        <f>$F$9*'pertes rdt'!C12*(1+$E$16)-$F$13</f>
        <v>3697.1633989629008</v>
      </c>
      <c r="C25" s="10">
        <f t="shared" si="0"/>
        <v>-28373.103659468867</v>
      </c>
      <c r="H25" t="s">
        <v>28</v>
      </c>
      <c r="I25" s="2">
        <f>$M$9*'pertes rdt'!C12*(1+$E$16)-$F$13</f>
        <v>3322.5665958578356</v>
      </c>
      <c r="J25" s="10">
        <f t="shared" si="1"/>
        <v>-41259.975029135792</v>
      </c>
    </row>
    <row r="26" spans="1:10">
      <c r="A26" t="s">
        <v>29</v>
      </c>
      <c r="B26" s="2">
        <f>$F$9*'pertes rdt'!C13*(1+$E$16)-$F$13</f>
        <v>3677.4723153579889</v>
      </c>
      <c r="C26" s="10">
        <f t="shared" si="0"/>
        <v>-24695.63134411088</v>
      </c>
      <c r="H26" t="s">
        <v>29</v>
      </c>
      <c r="I26" s="2">
        <f>$M$9*'pertes rdt'!C13*(1+$E$16)-$F$13</f>
        <v>3304.4508987440713</v>
      </c>
      <c r="J26" s="10">
        <f t="shared" si="1"/>
        <v>-37955.524130391721</v>
      </c>
    </row>
    <row r="27" spans="1:10">
      <c r="A27" t="s">
        <v>30</v>
      </c>
      <c r="B27" s="2">
        <f>$F$9*'pertes rdt'!C14*(1+$E$16)-$F$13</f>
        <v>3657.8640436373498</v>
      </c>
      <c r="C27" s="10">
        <f t="shared" si="0"/>
        <v>-21037.76730047353</v>
      </c>
      <c r="H27" t="s">
        <v>30</v>
      </c>
      <c r="I27" s="2">
        <f>$M$9*'pertes rdt'!C14*(1+$E$16)-$F$13</f>
        <v>3286.4113881441135</v>
      </c>
      <c r="J27" s="10">
        <f t="shared" si="1"/>
        <v>-34669.112742247606</v>
      </c>
    </row>
    <row r="28" spans="1:10">
      <c r="A28" t="s">
        <v>31</v>
      </c>
      <c r="B28" s="2">
        <f>$F$9*'pertes rdt'!C15*(1+$E$16)-$F$13</f>
        <v>3638.3382355312597</v>
      </c>
      <c r="C28" s="10">
        <f t="shared" si="0"/>
        <v>-17399.429064942269</v>
      </c>
      <c r="H28" t="s">
        <v>31</v>
      </c>
      <c r="I28" s="2">
        <f>$M$9*'pertes rdt'!C15*(1+$E$16)-$F$13</f>
        <v>3268.4477436515799</v>
      </c>
      <c r="J28" s="10">
        <f t="shared" si="1"/>
        <v>-31400.664998596025</v>
      </c>
    </row>
    <row r="29" spans="1:10">
      <c r="A29" t="s">
        <v>32</v>
      </c>
      <c r="B29" s="2">
        <f>$F$9*'pertes rdt'!C16*(1+$E$16)-$F$13</f>
        <v>3618.8945442346694</v>
      </c>
      <c r="C29" s="10">
        <f t="shared" si="0"/>
        <v>-13780.534520707599</v>
      </c>
      <c r="H29" t="s">
        <v>32</v>
      </c>
      <c r="I29" s="2">
        <f>$M$9*'pertes rdt'!C16*(1+$E$16)-$F$13</f>
        <v>3250.5596462075828</v>
      </c>
      <c r="J29" s="10">
        <f t="shared" si="1"/>
        <v>-28150.10535238844</v>
      </c>
    </row>
    <row r="30" spans="1:10">
      <c r="A30" t="s">
        <v>33</v>
      </c>
      <c r="B30" s="2">
        <f>$F$9*'pertes rdt'!C17*(1+$E$16)-$F$13</f>
        <v>3599.5326244010303</v>
      </c>
      <c r="C30" s="10">
        <f t="shared" si="0"/>
        <v>-10181.001896306569</v>
      </c>
      <c r="H30" t="s">
        <v>33</v>
      </c>
      <c r="I30" s="2">
        <f>$M$9*'pertes rdt'!C17*(1+$E$16)-$F$13</f>
        <v>3232.7467780950474</v>
      </c>
      <c r="J30" s="10">
        <f t="shared" si="1"/>
        <v>-24917.358574293394</v>
      </c>
    </row>
    <row r="31" spans="1:10">
      <c r="A31" t="s">
        <v>34</v>
      </c>
      <c r="B31" s="2">
        <f>$F$9*'pertes rdt'!C18*(1+$E$16)-$F$13</f>
        <v>3580.2521321361673</v>
      </c>
      <c r="C31" s="10">
        <f t="shared" si="0"/>
        <v>-6600.7497641704012</v>
      </c>
      <c r="H31" t="s">
        <v>34</v>
      </c>
      <c r="I31" s="2">
        <f>$M$9*'pertes rdt'!C18*(1+$E$16)-$F$13</f>
        <v>3215.0088229330795</v>
      </c>
      <c r="J31" s="10">
        <f t="shared" si="1"/>
        <v>-21702.349751360314</v>
      </c>
    </row>
    <row r="32" spans="1:10">
      <c r="A32" t="s">
        <v>35</v>
      </c>
      <c r="B32" s="2">
        <f>$F$9*'pertes rdt'!C19*(1+$E$16)-$F$13</f>
        <v>3561.0527249921743</v>
      </c>
      <c r="C32" s="10">
        <f t="shared" si="0"/>
        <v>-3039.697039178227</v>
      </c>
      <c r="H32" t="s">
        <v>35</v>
      </c>
      <c r="I32" s="2">
        <f>$M$9*'pertes rdt'!C19*(1+$E$16)-$F$13</f>
        <v>3197.3454656713357</v>
      </c>
      <c r="J32" s="10">
        <f t="shared" si="1"/>
        <v>-18505.004285688978</v>
      </c>
    </row>
    <row r="33" spans="1:10">
      <c r="A33" t="s">
        <v>36</v>
      </c>
      <c r="B33" s="2">
        <f>$F$9*'pertes rdt'!C20*(1+$E$16)-$F$13</f>
        <v>3541.9340619613231</v>
      </c>
      <c r="C33" s="10">
        <f t="shared" si="0"/>
        <v>502.23702278309611</v>
      </c>
      <c r="H33" t="s">
        <v>36</v>
      </c>
      <c r="I33" s="2">
        <f>$M$9*'pertes rdt'!C20*(1+$E$16)-$F$13</f>
        <v>3179.756392584437</v>
      </c>
      <c r="J33" s="10">
        <f t="shared" si="1"/>
        <v>-15325.247893104541</v>
      </c>
    </row>
    <row r="34" spans="1:10">
      <c r="A34" t="s">
        <v>37</v>
      </c>
      <c r="B34" s="2">
        <f>$F$9*'pertes rdt'!C21*(1+$E$16)-$F$13</f>
        <v>3522.8958034700136</v>
      </c>
      <c r="C34" s="10">
        <f t="shared" si="0"/>
        <v>4025.1328262531097</v>
      </c>
      <c r="H34" t="s">
        <v>37</v>
      </c>
      <c r="I34" s="2">
        <f>$M$9*'pertes rdt'!C21*(1+$E$16)-$F$13</f>
        <v>3162.2412912663931</v>
      </c>
      <c r="J34" s="10">
        <f t="shared" si="1"/>
        <v>-12163.006601838148</v>
      </c>
    </row>
    <row r="35" spans="1:10">
      <c r="A35" t="s">
        <v>38</v>
      </c>
      <c r="B35" s="2">
        <f>$F$9*'pertes rdt'!C22*(1+$E$16)-$F$13</f>
        <v>3503.9376113727403</v>
      </c>
      <c r="C35" s="10">
        <f t="shared" si="0"/>
        <v>7529.07043762585</v>
      </c>
      <c r="H35" t="s">
        <v>38</v>
      </c>
      <c r="I35" s="2">
        <f>$M$9*'pertes rdt'!C22*(1+$E$16)-$F$13</f>
        <v>3144.7998506250533</v>
      </c>
      <c r="J35" s="10">
        <f t="shared" si="1"/>
        <v>-9018.2067512130943</v>
      </c>
    </row>
    <row r="36" spans="1:10">
      <c r="A36" t="s">
        <v>39</v>
      </c>
      <c r="B36" s="2">
        <f>$F$9*'pertes rdt'!C23*(1+$E$16)-$F$13</f>
        <v>3485.0591489460867</v>
      </c>
      <c r="C36" s="10">
        <f t="shared" si="0"/>
        <v>11014.129586571937</v>
      </c>
      <c r="H36" t="s">
        <v>39</v>
      </c>
      <c r="I36" s="2">
        <f>$M$9*'pertes rdt'!C23*(1+$E$16)-$F$13</f>
        <v>3127.4317608765787</v>
      </c>
      <c r="J36" s="10">
        <f t="shared" si="1"/>
        <v>-5890.7749903365157</v>
      </c>
    </row>
    <row r="37" spans="1:10">
      <c r="A37" t="s">
        <v>40</v>
      </c>
      <c r="B37" s="2">
        <f>$F$9*'pertes rdt'!C24*(1+$E$16)-$F$13</f>
        <v>3466.2600808827438</v>
      </c>
      <c r="C37" s="10">
        <f t="shared" si="0"/>
        <v>14480.389667454681</v>
      </c>
      <c r="H37" t="s">
        <v>40</v>
      </c>
      <c r="I37" s="2">
        <f>$M$9*'pertes rdt'!C24*(1+$E$16)-$F$13</f>
        <v>3110.1367135399455</v>
      </c>
      <c r="J37" s="10">
        <f t="shared" si="1"/>
        <v>-2780.6382767965702</v>
      </c>
    </row>
    <row r="38" spans="1:10">
      <c r="A38" t="s">
        <v>41</v>
      </c>
      <c r="B38" s="2">
        <f>$F$9*'pertes rdt'!C25*(1+$E$16)-$F$13</f>
        <v>3447.5400732855542</v>
      </c>
      <c r="C38" s="10">
        <f t="shared" si="0"/>
        <v>17927.929740740234</v>
      </c>
      <c r="H38" t="s">
        <v>41</v>
      </c>
      <c r="I38" s="2">
        <f>$M$9*'pertes rdt'!C25*(1+$E$16)-$F$13</f>
        <v>3092.9144014314616</v>
      </c>
      <c r="J38" s="10">
        <f t="shared" si="1"/>
        <v>312.2761246348914</v>
      </c>
    </row>
    <row r="39" spans="1:10">
      <c r="A39" t="s">
        <v>42</v>
      </c>
      <c r="B39" s="2">
        <f>$F$9*'pertes rdt'!C26*(1+$E$16)-$F$13</f>
        <v>3428.898793661584</v>
      </c>
      <c r="C39" s="10">
        <f t="shared" si="0"/>
        <v>21356.828534401819</v>
      </c>
      <c r="H39" t="s">
        <v>42</v>
      </c>
      <c r="I39" s="2">
        <f>$M$9*'pertes rdt'!C26*(1+$E$16)-$F$13</f>
        <v>3075.7645186593127</v>
      </c>
      <c r="J39" s="10">
        <f t="shared" si="1"/>
        <v>3388.0406432942041</v>
      </c>
    </row>
    <row r="40" spans="1:10">
      <c r="A40" t="s">
        <v>43</v>
      </c>
      <c r="B40" s="2">
        <f>$F$9*'pertes rdt'!C27*(1+$E$16)-$F$13</f>
        <v>3410.3359109162138</v>
      </c>
      <c r="C40" s="10">
        <f t="shared" si="0"/>
        <v>24767.164445318034</v>
      </c>
      <c r="H40" t="s">
        <v>43</v>
      </c>
      <c r="I40" s="2">
        <f>$M$9*'pertes rdt'!C27*(1+$E$16)-$F$13</f>
        <v>3058.6867606181277</v>
      </c>
      <c r="J40" s="10">
        <f t="shared" si="1"/>
        <v>6446.7274039123313</v>
      </c>
    </row>
    <row r="54" spans="1:5">
      <c r="A54" s="5" t="s">
        <v>47</v>
      </c>
      <c r="D54" t="s">
        <v>45</v>
      </c>
      <c r="E54" s="2">
        <v>1990</v>
      </c>
    </row>
    <row r="55" spans="1:5">
      <c r="A55" t="s">
        <v>20</v>
      </c>
      <c r="B55" s="6">
        <v>0.02</v>
      </c>
    </row>
    <row r="56" spans="1:5">
      <c r="A56" t="s">
        <v>22</v>
      </c>
      <c r="B56" s="2">
        <f>B59+NPV(B55,B60:B79)</f>
        <v>10239.007277598554</v>
      </c>
    </row>
    <row r="57" spans="1:5">
      <c r="A57" t="s">
        <v>23</v>
      </c>
      <c r="B57" s="6">
        <f>IRR(B59:B79)</f>
        <v>4.1815262076493553E-2</v>
      </c>
    </row>
    <row r="59" spans="1:5">
      <c r="A59" t="s">
        <v>1</v>
      </c>
      <c r="B59" s="2">
        <f>-F5</f>
        <v>-47057.5</v>
      </c>
    </row>
    <row r="60" spans="1:5">
      <c r="A60" t="s">
        <v>24</v>
      </c>
      <c r="B60" s="2">
        <f>$F$9*'pertes rdt'!C8*(1+$E$16)-$F$13</f>
        <v>3776.7628692301296</v>
      </c>
    </row>
    <row r="61" spans="1:5">
      <c r="A61" t="s">
        <v>25</v>
      </c>
      <c r="B61" s="2">
        <f>$F$9*'pertes rdt'!C9*(1+$E$16)-$F$13</f>
        <v>3756.7370258805495</v>
      </c>
    </row>
    <row r="62" spans="1:5">
      <c r="A62" t="s">
        <v>26</v>
      </c>
      <c r="B62" s="2">
        <f>$F$9*'pertes rdt'!C10*(1+$E$16)-$F$13</f>
        <v>3736.7954022648919</v>
      </c>
    </row>
    <row r="63" spans="1:5">
      <c r="A63" t="s">
        <v>27</v>
      </c>
      <c r="B63" s="2">
        <f>$F$9*'pertes rdt'!C11*(1+$E$16)-$F$13</f>
        <v>3716.9376441926561</v>
      </c>
    </row>
    <row r="64" spans="1:5">
      <c r="A64" t="s">
        <v>28</v>
      </c>
      <c r="B64" s="2">
        <f>$F$9*'pertes rdt'!C12*(1+$E$16)-$F$13</f>
        <v>3697.1633989629008</v>
      </c>
    </row>
    <row r="65" spans="1:2">
      <c r="A65" t="s">
        <v>29</v>
      </c>
      <c r="B65" s="2">
        <f>$F$9*'pertes rdt'!C13*(1+$E$16)-$F$13</f>
        <v>3677.4723153579889</v>
      </c>
    </row>
    <row r="66" spans="1:2">
      <c r="A66" t="s">
        <v>30</v>
      </c>
      <c r="B66" s="2">
        <f>$F$9*'pertes rdt'!C14*(1+$E$16)-$F$13</f>
        <v>3657.8640436373498</v>
      </c>
    </row>
    <row r="67" spans="1:2">
      <c r="A67" t="s">
        <v>31</v>
      </c>
      <c r="B67" s="2">
        <f>$F$9*'pertes rdt'!C15*(1+$E$16)-$F$13</f>
        <v>3638.3382355312597</v>
      </c>
    </row>
    <row r="68" spans="1:2">
      <c r="A68" t="s">
        <v>32</v>
      </c>
      <c r="B68" s="2">
        <f>$F$9*'pertes rdt'!C16*(1+$E$16)-$F$13</f>
        <v>3618.8945442346694</v>
      </c>
    </row>
    <row r="69" spans="1:2">
      <c r="A69" t="s">
        <v>33</v>
      </c>
      <c r="B69" s="2">
        <f>$F$9*'pertes rdt'!C17*(1+$E$16)-$F$13-E54</f>
        <v>1609.5326244010303</v>
      </c>
    </row>
    <row r="70" spans="1:2">
      <c r="A70" t="s">
        <v>34</v>
      </c>
      <c r="B70" s="2">
        <f>$F$9*'pertes rdt'!C18*(1+$E$16)-$F$13</f>
        <v>3580.2521321361673</v>
      </c>
    </row>
    <row r="71" spans="1:2">
      <c r="A71" t="s">
        <v>35</v>
      </c>
      <c r="B71" s="2">
        <f>$F$9*'pertes rdt'!C19*(1+$E$16)-$F$13</f>
        <v>3561.0527249921743</v>
      </c>
    </row>
    <row r="72" spans="1:2">
      <c r="A72" t="s">
        <v>36</v>
      </c>
      <c r="B72" s="2">
        <f>$F$9*'pertes rdt'!C20*(1+$E$16)-$F$13</f>
        <v>3541.9340619613231</v>
      </c>
    </row>
    <row r="73" spans="1:2">
      <c r="A73" t="s">
        <v>37</v>
      </c>
      <c r="B73" s="2">
        <f>$F$9*'pertes rdt'!C21*(1+$E$16)-$F$13</f>
        <v>3522.8958034700136</v>
      </c>
    </row>
    <row r="74" spans="1:2">
      <c r="A74" t="s">
        <v>38</v>
      </c>
      <c r="B74" s="2">
        <f>$F$9*'pertes rdt'!C22*(1+$E$16)-$F$13</f>
        <v>3503.9376113727403</v>
      </c>
    </row>
    <row r="75" spans="1:2">
      <c r="A75" t="s">
        <v>39</v>
      </c>
      <c r="B75" s="2">
        <f>$F$9*'pertes rdt'!C23*(1+$E$16)-$F$13</f>
        <v>3485.0591489460867</v>
      </c>
    </row>
    <row r="76" spans="1:2">
      <c r="A76" t="s">
        <v>40</v>
      </c>
      <c r="B76" s="2">
        <f>$F$9*'pertes rdt'!C24*(1+$E$16)-$F$13</f>
        <v>3466.2600808827438</v>
      </c>
    </row>
    <row r="77" spans="1:2">
      <c r="A77" t="s">
        <v>41</v>
      </c>
      <c r="B77" s="2">
        <f>$F$9*'pertes rdt'!C25*(1+$E$16)-$F$13</f>
        <v>3447.5400732855542</v>
      </c>
    </row>
    <row r="78" spans="1:2">
      <c r="A78" t="s">
        <v>42</v>
      </c>
      <c r="B78" s="2">
        <f>$F$9*'pertes rdt'!C26*(1+$E$16)-$F$13</f>
        <v>3428.898793661584</v>
      </c>
    </row>
    <row r="79" spans="1:2">
      <c r="A79" t="s">
        <v>43</v>
      </c>
      <c r="B79" s="2">
        <f>$F$9*'pertes rdt'!C27*(1+$E$16)-$F$13</f>
        <v>3410.3359109162138</v>
      </c>
    </row>
  </sheetData>
  <pageMargins left="0" right="0" top="0.39370078740157477" bottom="0.39370078740157477" header="0" footer="0"/>
  <pageSetup paperSize="9" orientation="portrait" horizontalDpi="0" verticalDpi="0" r:id="rId1"/>
  <headerFooter>
    <oddHeader>&amp;C&amp;A</oddHeader>
    <oddFooter>&amp;CPage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9"/>
  <sheetViews>
    <sheetView workbookViewId="0"/>
  </sheetViews>
  <sheetFormatPr baseColWidth="10" defaultRowHeight="14.25"/>
  <cols>
    <col min="1" max="1" width="16.375" customWidth="1"/>
    <col min="2" max="2" width="13.125" customWidth="1"/>
    <col min="3" max="4" width="12.25" customWidth="1"/>
    <col min="5" max="6" width="10.625" customWidth="1"/>
  </cols>
  <sheetData>
    <row r="1" spans="1:6" ht="15">
      <c r="A1" s="1" t="s">
        <v>49</v>
      </c>
    </row>
    <row r="3" spans="1:6" ht="15">
      <c r="A3" s="1" t="s">
        <v>1</v>
      </c>
    </row>
    <row r="4" spans="1:6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</row>
    <row r="5" spans="1:6">
      <c r="A5" s="2">
        <v>36000</v>
      </c>
      <c r="B5" s="2">
        <v>0</v>
      </c>
      <c r="C5" s="2">
        <v>500</v>
      </c>
      <c r="D5" s="2">
        <v>1073</v>
      </c>
      <c r="E5" s="2">
        <v>1325</v>
      </c>
      <c r="F5" s="2">
        <f>SUM(A5:D5)+0.3*E5</f>
        <v>37970.5</v>
      </c>
    </row>
    <row r="7" spans="1:6" ht="15">
      <c r="A7" t="s">
        <v>8</v>
      </c>
    </row>
    <row r="8" spans="1:6">
      <c r="A8" t="s">
        <v>9</v>
      </c>
      <c r="B8" t="s">
        <v>10</v>
      </c>
      <c r="F8" t="s">
        <v>11</v>
      </c>
    </row>
    <row r="9" spans="1:6">
      <c r="A9">
        <v>44550</v>
      </c>
      <c r="B9">
        <v>0.1207</v>
      </c>
      <c r="F9" s="2">
        <f>A9*B9</f>
        <v>5377.1850000000004</v>
      </c>
    </row>
    <row r="11" spans="1:6" ht="15">
      <c r="A11" s="3" t="s">
        <v>12</v>
      </c>
    </row>
    <row r="12" spans="1:6">
      <c r="A12" t="s">
        <v>13</v>
      </c>
      <c r="B12" t="s">
        <v>14</v>
      </c>
      <c r="C12" t="s">
        <v>15</v>
      </c>
      <c r="D12" t="s">
        <v>16</v>
      </c>
      <c r="E12" t="s">
        <v>17</v>
      </c>
      <c r="F12" t="s">
        <v>18</v>
      </c>
    </row>
    <row r="13" spans="1:6">
      <c r="A13" s="4">
        <v>300</v>
      </c>
      <c r="B13">
        <v>200</v>
      </c>
      <c r="C13">
        <v>200</v>
      </c>
      <c r="D13">
        <v>35</v>
      </c>
      <c r="E13">
        <v>250</v>
      </c>
      <c r="F13" s="2">
        <f>SUM(A13:E13)</f>
        <v>985</v>
      </c>
    </row>
    <row r="14" spans="1:6">
      <c r="A14" s="4"/>
      <c r="F14" s="2"/>
    </row>
    <row r="15" spans="1:6">
      <c r="A15" s="5" t="s">
        <v>19</v>
      </c>
      <c r="F15" s="2"/>
    </row>
    <row r="16" spans="1:6">
      <c r="A16" t="s">
        <v>20</v>
      </c>
      <c r="B16" s="6">
        <v>0.02</v>
      </c>
      <c r="D16" t="s">
        <v>21</v>
      </c>
      <c r="E16" s="6">
        <v>4.0000000000000001E-3</v>
      </c>
    </row>
    <row r="17" spans="1:2">
      <c r="A17" t="s">
        <v>22</v>
      </c>
      <c r="B17" s="2">
        <f>B20+NPV(B16,B21:B40)</f>
        <v>26880.869034471012</v>
      </c>
    </row>
    <row r="18" spans="1:2">
      <c r="A18" t="s">
        <v>23</v>
      </c>
      <c r="B18" s="6">
        <f>IRR(B20:B40)</f>
        <v>8.6406825268603438E-2</v>
      </c>
    </row>
    <row r="20" spans="1:2">
      <c r="A20" t="s">
        <v>1</v>
      </c>
      <c r="B20" s="2">
        <f>-F5</f>
        <v>-37970.5</v>
      </c>
    </row>
    <row r="21" spans="1:2">
      <c r="A21" t="s">
        <v>24</v>
      </c>
      <c r="B21" s="2">
        <f>$F$9*'pertes rdt'!B8*(1+$E$16)-$F$13</f>
        <v>4365.7208077606383</v>
      </c>
    </row>
    <row r="22" spans="1:2">
      <c r="A22" t="s">
        <v>25</v>
      </c>
      <c r="B22" s="2">
        <f>$F$9*'pertes rdt'!B9*(1+$E$16)-$F$13</f>
        <v>4318.1741642382294</v>
      </c>
    </row>
    <row r="23" spans="1:2">
      <c r="A23" t="s">
        <v>26</v>
      </c>
      <c r="B23" s="2">
        <f>$F$9*'pertes rdt'!B10*(1+$E$16)-$F$13</f>
        <v>4271.0500214202057</v>
      </c>
    </row>
    <row r="24" spans="1:2">
      <c r="A24" t="s">
        <v>27</v>
      </c>
      <c r="B24" s="2">
        <f>$F$9*'pertes rdt'!B11*(1+$E$16)-$F$13</f>
        <v>4224.3446249543767</v>
      </c>
    </row>
    <row r="25" spans="1:2">
      <c r="A25" t="s">
        <v>28</v>
      </c>
      <c r="B25" s="2">
        <f>$F$9*'pertes rdt'!B12*(1+$E$16)-$F$13</f>
        <v>4178.0542538498248</v>
      </c>
    </row>
    <row r="26" spans="1:2">
      <c r="A26" t="s">
        <v>29</v>
      </c>
      <c r="B26" s="2">
        <f>$F$9*'pertes rdt'!B13*(1+$E$16)-$F$13</f>
        <v>4132.1752201804538</v>
      </c>
    </row>
    <row r="27" spans="1:2">
      <c r="A27" t="s">
        <v>30</v>
      </c>
      <c r="B27" s="2">
        <f>$F$9*'pertes rdt'!B14*(1+$E$16)-$F$13</f>
        <v>4086.7038687911718</v>
      </c>
    </row>
    <row r="28" spans="1:2">
      <c r="A28" t="s">
        <v>31</v>
      </c>
      <c r="B28" s="2">
        <f>$F$9*'pertes rdt'!B15*(1+$E$16)-$F$13</f>
        <v>4041.6365770066914</v>
      </c>
    </row>
    <row r="29" spans="1:2">
      <c r="A29" t="s">
        <v>32</v>
      </c>
      <c r="B29" s="2">
        <f>$F$9*'pertes rdt'!B16*(1+$E$16)-$F$13</f>
        <v>3996.9697543429111</v>
      </c>
    </row>
    <row r="30" spans="1:2">
      <c r="A30" t="s">
        <v>33</v>
      </c>
      <c r="B30" s="2">
        <f>$F$9*'pertes rdt'!B17*(1+$E$16)-$F$13</f>
        <v>3952.6998422208653</v>
      </c>
    </row>
    <row r="31" spans="1:2">
      <c r="A31" t="s">
        <v>34</v>
      </c>
      <c r="B31" s="2">
        <f>$F$9*'pertes rdt'!B18*(1+$E$16)-$F$13</f>
        <v>3908.8233136832105</v>
      </c>
    </row>
    <row r="32" spans="1:2">
      <c r="A32" t="s">
        <v>35</v>
      </c>
      <c r="B32" s="2">
        <f>$F$9*'pertes rdt'!B19*(1+$E$16)-$F$13</f>
        <v>3865.3366731132392</v>
      </c>
    </row>
    <row r="33" spans="1:2">
      <c r="A33" t="s">
        <v>36</v>
      </c>
      <c r="B33" s="2">
        <f>$F$9*'pertes rdt'!B20*(1+$E$16)-$F$13</f>
        <v>3822.2364559563848</v>
      </c>
    </row>
    <row r="34" spans="1:2">
      <c r="A34" t="s">
        <v>37</v>
      </c>
      <c r="B34" s="2">
        <f>$F$9*'pertes rdt'!B21*(1+$E$16)-$F$13</f>
        <v>3779.519228444201</v>
      </c>
    </row>
    <row r="35" spans="1:2">
      <c r="A35" t="s">
        <v>38</v>
      </c>
      <c r="B35" s="2">
        <f>$F$9*'pertes rdt'!B22*(1+$E$16)-$F$13</f>
        <v>3737.1815873207961</v>
      </c>
    </row>
    <row r="36" spans="1:2">
      <c r="A36" t="s">
        <v>39</v>
      </c>
      <c r="B36" s="2">
        <f>$F$9*'pertes rdt'!B23*(1+$E$16)-$F$13</f>
        <v>3695.2201595717015</v>
      </c>
    </row>
    <row r="37" spans="1:2">
      <c r="A37" t="s">
        <v>40</v>
      </c>
      <c r="B37" s="2">
        <f>$F$9*'pertes rdt'!B24*(1+$E$16)-$F$13</f>
        <v>3653.6316021551384</v>
      </c>
    </row>
    <row r="38" spans="1:2">
      <c r="A38" t="s">
        <v>41</v>
      </c>
      <c r="B38" s="2">
        <f>$F$9*'pertes rdt'!B25*(1+$E$16)-$F$13</f>
        <v>3612.4126017356875</v>
      </c>
    </row>
    <row r="39" spans="1:2">
      <c r="A39" t="s">
        <v>42</v>
      </c>
      <c r="B39" s="2">
        <f>$F$9*'pertes rdt'!B26*(1+$E$16)-$F$13</f>
        <v>3571.5598744203107</v>
      </c>
    </row>
    <row r="40" spans="1:2">
      <c r="A40" t="s">
        <v>43</v>
      </c>
      <c r="B40" s="2">
        <f>$F$9*'pertes rdt'!B27*(1+$E$16)-$F$13</f>
        <v>3531.0701654967297</v>
      </c>
    </row>
    <row r="54" spans="1:5">
      <c r="A54" s="5" t="s">
        <v>47</v>
      </c>
      <c r="D54" t="s">
        <v>45</v>
      </c>
      <c r="E54" s="2">
        <v>1990</v>
      </c>
    </row>
    <row r="55" spans="1:5">
      <c r="A55" t="s">
        <v>20</v>
      </c>
      <c r="B55" s="6">
        <v>0.02</v>
      </c>
    </row>
    <row r="56" spans="1:5">
      <c r="A56" t="s">
        <v>22</v>
      </c>
      <c r="B56" s="2">
        <f>B59+NPV(B55,B60:B79)</f>
        <v>25248.375917719452</v>
      </c>
    </row>
    <row r="57" spans="1:5">
      <c r="A57" t="s">
        <v>23</v>
      </c>
      <c r="B57" s="6">
        <f>IRR(B59:B79)</f>
        <v>8.3072833102088239E-2</v>
      </c>
    </row>
    <row r="59" spans="1:5">
      <c r="A59" t="s">
        <v>1</v>
      </c>
      <c r="B59" s="2">
        <f>-F5</f>
        <v>-37970.5</v>
      </c>
    </row>
    <row r="60" spans="1:5">
      <c r="A60" t="s">
        <v>24</v>
      </c>
      <c r="B60" s="2">
        <f>$F$9*'pertes rdt'!B8*(1+$E$16)-$F$13</f>
        <v>4365.7208077606383</v>
      </c>
    </row>
    <row r="61" spans="1:5">
      <c r="A61" t="s">
        <v>25</v>
      </c>
      <c r="B61" s="2">
        <f>$F$9*'pertes rdt'!B9*(1+$E$16)-$F$13</f>
        <v>4318.1741642382294</v>
      </c>
    </row>
    <row r="62" spans="1:5">
      <c r="A62" t="s">
        <v>26</v>
      </c>
      <c r="B62" s="2">
        <f>$F$9*'pertes rdt'!B10*(1+$E$16)-$F$13</f>
        <v>4271.0500214202057</v>
      </c>
    </row>
    <row r="63" spans="1:5">
      <c r="A63" t="s">
        <v>27</v>
      </c>
      <c r="B63" s="2">
        <f>$F$9*'pertes rdt'!B11*(1+$E$16)-$F$13</f>
        <v>4224.3446249543767</v>
      </c>
    </row>
    <row r="64" spans="1:5">
      <c r="A64" t="s">
        <v>28</v>
      </c>
      <c r="B64" s="2">
        <f>$F$9*'pertes rdt'!B12*(1+$E$16)-$F$13</f>
        <v>4178.0542538498248</v>
      </c>
    </row>
    <row r="65" spans="1:2">
      <c r="A65" t="s">
        <v>29</v>
      </c>
      <c r="B65" s="2">
        <f>$F$9*'pertes rdt'!B13*(1+$E$16)-$F$13</f>
        <v>4132.1752201804538</v>
      </c>
    </row>
    <row r="66" spans="1:2">
      <c r="A66" t="s">
        <v>30</v>
      </c>
      <c r="B66" s="2">
        <f>$F$9*'pertes rdt'!B14*(1+$E$16)-$F$13</f>
        <v>4086.7038687911718</v>
      </c>
    </row>
    <row r="67" spans="1:2">
      <c r="A67" t="s">
        <v>31</v>
      </c>
      <c r="B67" s="2">
        <f>$F$9*'pertes rdt'!B15*(1+$E$16)-$F$13</f>
        <v>4041.6365770066914</v>
      </c>
    </row>
    <row r="68" spans="1:2">
      <c r="A68" t="s">
        <v>32</v>
      </c>
      <c r="B68" s="2">
        <f>$F$9*'pertes rdt'!B16*(1+$E$16)-$F$13</f>
        <v>3996.9697543429111</v>
      </c>
    </row>
    <row r="69" spans="1:2">
      <c r="A69" t="s">
        <v>33</v>
      </c>
      <c r="B69" s="2">
        <f>$F$9*'pertes rdt'!B17*(1+$E$16)-$F$13-$E$54</f>
        <v>1962.6998422208653</v>
      </c>
    </row>
    <row r="70" spans="1:2">
      <c r="A70" t="s">
        <v>34</v>
      </c>
      <c r="B70" s="2">
        <f>$F$9*'pertes rdt'!B18*(1+$E$16)-$F$13</f>
        <v>3908.8233136832105</v>
      </c>
    </row>
    <row r="71" spans="1:2">
      <c r="A71" t="s">
        <v>35</v>
      </c>
      <c r="B71" s="2">
        <f>$F$9*'pertes rdt'!B19*(1+$E$16)-$F$13</f>
        <v>3865.3366731132392</v>
      </c>
    </row>
    <row r="72" spans="1:2">
      <c r="A72" t="s">
        <v>36</v>
      </c>
      <c r="B72" s="2">
        <f>$F$9*'pertes rdt'!B20*(1+$E$16)-$F$13</f>
        <v>3822.2364559563848</v>
      </c>
    </row>
    <row r="73" spans="1:2">
      <c r="A73" t="s">
        <v>37</v>
      </c>
      <c r="B73" s="2">
        <f>$F$9*'pertes rdt'!B21*(1+$E$16)-$F$13</f>
        <v>3779.519228444201</v>
      </c>
    </row>
    <row r="74" spans="1:2">
      <c r="A74" t="s">
        <v>38</v>
      </c>
      <c r="B74" s="2">
        <f>$F$9*'pertes rdt'!B22*(1+$E$16)-$F$13</f>
        <v>3737.1815873207961</v>
      </c>
    </row>
    <row r="75" spans="1:2">
      <c r="A75" t="s">
        <v>39</v>
      </c>
      <c r="B75" s="2">
        <f>$F$9*'pertes rdt'!B23*(1+$E$16)-$F$13</f>
        <v>3695.2201595717015</v>
      </c>
    </row>
    <row r="76" spans="1:2">
      <c r="A76" t="s">
        <v>40</v>
      </c>
      <c r="B76" s="2">
        <f>$F$9*'pertes rdt'!B24*(1+$E$16)-$F$13</f>
        <v>3653.6316021551384</v>
      </c>
    </row>
    <row r="77" spans="1:2">
      <c r="A77" t="s">
        <v>41</v>
      </c>
      <c r="B77" s="2">
        <f>$F$9*'pertes rdt'!B25*(1+$E$16)-$F$13</f>
        <v>3612.4126017356875</v>
      </c>
    </row>
    <row r="78" spans="1:2">
      <c r="A78" t="s">
        <v>42</v>
      </c>
      <c r="B78" s="2">
        <f>$F$9*'pertes rdt'!B26*(1+$E$16)-$F$13</f>
        <v>3571.5598744203107</v>
      </c>
    </row>
    <row r="79" spans="1:2">
      <c r="A79" t="s">
        <v>43</v>
      </c>
      <c r="B79" s="2">
        <f>$F$9*'pertes rdt'!B27*(1+$E$16)-$F$13</f>
        <v>3531.0701654967297</v>
      </c>
    </row>
  </sheetData>
  <pageMargins left="0" right="0" top="0.39370078740157477" bottom="0.39370078740157477" header="0" footer="0"/>
  <headerFooter>
    <oddHeader>&amp;C&amp;A</oddHeader>
    <oddFooter>&amp;CPage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36"/>
  <sheetViews>
    <sheetView workbookViewId="0"/>
  </sheetViews>
  <sheetFormatPr baseColWidth="10" defaultRowHeight="14.25"/>
  <cols>
    <col min="1" max="1" width="12.375" customWidth="1"/>
    <col min="2" max="2" width="13.875" customWidth="1"/>
    <col min="3" max="3" width="12.75" customWidth="1"/>
    <col min="4" max="4" width="10.625" customWidth="1"/>
  </cols>
  <sheetData>
    <row r="2" spans="1:4">
      <c r="A2" t="s">
        <v>50</v>
      </c>
      <c r="B2" s="7">
        <v>0.8</v>
      </c>
      <c r="C2" t="s">
        <v>51</v>
      </c>
      <c r="D2" t="s">
        <v>52</v>
      </c>
    </row>
    <row r="3" spans="1:4">
      <c r="A3" t="s">
        <v>53</v>
      </c>
      <c r="B3" s="7">
        <v>0.9</v>
      </c>
      <c r="C3" t="s">
        <v>51</v>
      </c>
      <c r="D3" t="s">
        <v>54</v>
      </c>
    </row>
    <row r="5" spans="1:4">
      <c r="A5" t="s">
        <v>55</v>
      </c>
    </row>
    <row r="6" spans="1:4">
      <c r="A6" t="s">
        <v>56</v>
      </c>
      <c r="B6" t="s">
        <v>57</v>
      </c>
      <c r="C6" t="s">
        <v>58</v>
      </c>
    </row>
    <row r="7" spans="1:4">
      <c r="A7">
        <v>0</v>
      </c>
      <c r="B7">
        <v>1</v>
      </c>
      <c r="C7">
        <v>1</v>
      </c>
    </row>
    <row r="8" spans="1:4">
      <c r="A8">
        <v>1</v>
      </c>
      <c r="B8">
        <f t="shared" ref="B8:B32" si="0">B7*(1-$B$36)</f>
        <v>0.99111397412971947</v>
      </c>
      <c r="C8">
        <f t="shared" ref="C8:C32" si="1">C7*(1-$C$35)</f>
        <v>0.99579444758180091</v>
      </c>
    </row>
    <row r="9" spans="1:4">
      <c r="A9">
        <v>2</v>
      </c>
      <c r="B9">
        <f t="shared" si="0"/>
        <v>0.98230690971520618</v>
      </c>
      <c r="C9">
        <f t="shared" si="1"/>
        <v>0.99160658183474404</v>
      </c>
    </row>
    <row r="10" spans="1:4">
      <c r="A10">
        <v>3</v>
      </c>
      <c r="B10">
        <f t="shared" si="0"/>
        <v>0.97357810510292153</v>
      </c>
      <c r="C10">
        <f t="shared" si="1"/>
        <v>0.98743632837660678</v>
      </c>
    </row>
    <row r="11" spans="1:4">
      <c r="A11">
        <v>4</v>
      </c>
      <c r="B11">
        <f t="shared" si="0"/>
        <v>0.96492686487423829</v>
      </c>
      <c r="C11">
        <f t="shared" si="1"/>
        <v>0.98328361313798496</v>
      </c>
    </row>
    <row r="12" spans="1:4">
      <c r="A12">
        <v>5</v>
      </c>
      <c r="B12">
        <f t="shared" si="0"/>
        <v>0.95635249979003711</v>
      </c>
      <c r="C12">
        <f t="shared" si="1"/>
        <v>0.97914836236097702</v>
      </c>
    </row>
    <row r="13" spans="1:4">
      <c r="A13">
        <v>6</v>
      </c>
      <c r="B13">
        <f t="shared" si="0"/>
        <v>0.94785432673579539</v>
      </c>
      <c r="C13">
        <f t="shared" si="1"/>
        <v>0.97503050259787416</v>
      </c>
    </row>
    <row r="14" spans="1:4">
      <c r="A14">
        <v>7</v>
      </c>
      <c r="B14">
        <f t="shared" si="0"/>
        <v>0.93943166866716377</v>
      </c>
      <c r="C14">
        <f t="shared" si="1"/>
        <v>0.97092996070985582</v>
      </c>
    </row>
    <row r="15" spans="1:4">
      <c r="A15">
        <v>8</v>
      </c>
      <c r="B15">
        <f t="shared" si="0"/>
        <v>0.93108385455602649</v>
      </c>
      <c r="C15">
        <f t="shared" si="1"/>
        <v>0.96684666386569051</v>
      </c>
    </row>
    <row r="16" spans="1:4">
      <c r="A16">
        <v>9</v>
      </c>
      <c r="B16">
        <f t="shared" si="0"/>
        <v>0.9228102193370411</v>
      </c>
      <c r="C16">
        <f t="shared" si="1"/>
        <v>0.9627805395404424</v>
      </c>
    </row>
    <row r="17" spans="1:3">
      <c r="A17">
        <v>10</v>
      </c>
      <c r="B17">
        <f t="shared" si="0"/>
        <v>0.91461010385465291</v>
      </c>
      <c r="C17">
        <f t="shared" si="1"/>
        <v>0.95873151551418312</v>
      </c>
    </row>
    <row r="18" spans="1:3">
      <c r="A18">
        <v>11</v>
      </c>
      <c r="B18">
        <f t="shared" si="0"/>
        <v>0.90648285481058055</v>
      </c>
      <c r="C18">
        <f t="shared" si="1"/>
        <v>0.95469951987070878</v>
      </c>
    </row>
    <row r="19" spans="1:3">
      <c r="A19">
        <v>12</v>
      </c>
      <c r="B19">
        <f t="shared" si="0"/>
        <v>0.89842782471176796</v>
      </c>
      <c r="C19">
        <f t="shared" si="1"/>
        <v>0.95068448099626301</v>
      </c>
    </row>
    <row r="20" spans="1:3">
      <c r="A20">
        <v>13</v>
      </c>
      <c r="B20">
        <f t="shared" si="0"/>
        <v>0.89044437181879932</v>
      </c>
      <c r="C20">
        <f t="shared" si="1"/>
        <v>0.94668632757826487</v>
      </c>
    </row>
    <row r="21" spans="1:3">
      <c r="A21">
        <v>14</v>
      </c>
      <c r="B21">
        <f t="shared" si="0"/>
        <v>0.8825318600947718</v>
      </c>
      <c r="C21">
        <f t="shared" si="1"/>
        <v>0.94270498860404206</v>
      </c>
    </row>
    <row r="22" spans="1:3">
      <c r="A22">
        <v>15</v>
      </c>
      <c r="B22">
        <f t="shared" si="0"/>
        <v>0.87468965915462282</v>
      </c>
      <c r="C22">
        <f t="shared" si="1"/>
        <v>0.93874039335956994</v>
      </c>
    </row>
    <row r="23" spans="1:3">
      <c r="A23">
        <v>16</v>
      </c>
      <c r="B23">
        <f t="shared" si="0"/>
        <v>0.86691714421490795</v>
      </c>
      <c r="C23">
        <f t="shared" si="1"/>
        <v>0.93479247142821542</v>
      </c>
    </row>
    <row r="24" spans="1:3">
      <c r="A24">
        <v>17</v>
      </c>
      <c r="B24">
        <f t="shared" si="0"/>
        <v>0.85921369604402453</v>
      </c>
      <c r="C24">
        <f t="shared" si="1"/>
        <v>0.93086115268948622</v>
      </c>
    </row>
    <row r="25" spans="1:3">
      <c r="A25">
        <v>18</v>
      </c>
      <c r="B25">
        <f t="shared" si="0"/>
        <v>0.85157870091287802</v>
      </c>
      <c r="C25">
        <f t="shared" si="1"/>
        <v>0.92694636731778535</v>
      </c>
    </row>
    <row r="26" spans="1:3">
      <c r="A26">
        <v>19</v>
      </c>
      <c r="B26">
        <f t="shared" si="0"/>
        <v>0.84401155054598631</v>
      </c>
      <c r="C26">
        <f t="shared" si="1"/>
        <v>0.92304804578117117</v>
      </c>
    </row>
    <row r="27" spans="1:3">
      <c r="A27">
        <v>20</v>
      </c>
      <c r="B27">
        <f t="shared" si="0"/>
        <v>0.83651164207301909</v>
      </c>
      <c r="C27">
        <f t="shared" si="1"/>
        <v>0.91916611884012223</v>
      </c>
    </row>
    <row r="28" spans="1:3">
      <c r="A28">
        <v>21</v>
      </c>
      <c r="B28">
        <f t="shared" si="0"/>
        <v>0.82907837798076744</v>
      </c>
      <c r="C28">
        <f t="shared" si="1"/>
        <v>0.91530051754630748</v>
      </c>
    </row>
    <row r="29" spans="1:3">
      <c r="A29">
        <v>22</v>
      </c>
      <c r="B29">
        <f t="shared" si="0"/>
        <v>0.82171116606554018</v>
      </c>
      <c r="C29">
        <f t="shared" si="1"/>
        <v>0.91145117324136171</v>
      </c>
    </row>
    <row r="30" spans="1:3">
      <c r="A30">
        <v>23</v>
      </c>
      <c r="B30">
        <f t="shared" si="0"/>
        <v>0.81440941938598344</v>
      </c>
      <c r="C30">
        <f t="shared" si="1"/>
        <v>0.90761801755566607</v>
      </c>
    </row>
    <row r="31" spans="1:3">
      <c r="A31">
        <v>24</v>
      </c>
      <c r="B31">
        <f t="shared" si="0"/>
        <v>0.80717255621631945</v>
      </c>
      <c r="C31">
        <f t="shared" si="1"/>
        <v>0.9038009824071338</v>
      </c>
    </row>
    <row r="32" spans="1:3">
      <c r="A32">
        <v>25</v>
      </c>
      <c r="B32">
        <f t="shared" si="0"/>
        <v>0.80000000000000071</v>
      </c>
      <c r="C32">
        <f t="shared" si="1"/>
        <v>0.9000000000000008</v>
      </c>
    </row>
    <row r="34" spans="1:3">
      <c r="A34" t="s">
        <v>59</v>
      </c>
      <c r="B34" s="6">
        <f>B2</f>
        <v>0.8</v>
      </c>
      <c r="C34" s="7">
        <f>B3</f>
        <v>0.9</v>
      </c>
    </row>
    <row r="35" spans="1:3">
      <c r="A35" t="s">
        <v>60</v>
      </c>
      <c r="B35" s="6">
        <f>1-(B34)^(1/25)</f>
        <v>8.8860258702805339E-3</v>
      </c>
      <c r="C35" s="6">
        <f>1-(C34)^(1/25)</f>
        <v>4.2055524181990878E-3</v>
      </c>
    </row>
    <row r="36" spans="1:3">
      <c r="B36" s="8">
        <f>1-(B34)^(1/25)</f>
        <v>8.8860258702805339E-3</v>
      </c>
      <c r="C36" s="8">
        <f>1-(C34)^(1/25)</f>
        <v>4.2055524181990878E-3</v>
      </c>
    </row>
  </sheetData>
  <pageMargins left="0" right="0" top="0.39370078740157477" bottom="0.39370078740157477" header="0" footer="0"/>
  <headerFooter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79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phase 3</vt:lpstr>
      <vt:lpstr>Ayguevives ET</vt:lpstr>
      <vt:lpstr>Montbrun AS</vt:lpstr>
      <vt:lpstr>Odars CN</vt:lpstr>
      <vt:lpstr>pertes rdt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Jean-Paul Gardette</dc:creator>
  <cp:lastModifiedBy>Jean-Paul Gardette</cp:lastModifiedBy>
  <cp:revision>9</cp:revision>
  <dcterms:created xsi:type="dcterms:W3CDTF">2019-09-15T17:22:36Z</dcterms:created>
  <dcterms:modified xsi:type="dcterms:W3CDTF">2019-09-16T18:41:24Z</dcterms:modified>
</cp:coreProperties>
</file>