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Feuil1" sheetId="5" r:id="rId4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2" i="5" l="1"/>
  <c r="B1" i="5"/>
  <c r="E26" i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B2" i="5" l="1"/>
  <c r="K45" i="4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l="1"/>
  <c r="AB44" i="1" s="1"/>
  <c r="AB45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41" i="1"/>
  <c r="AB42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C3" i="5" l="1"/>
  <c r="B3" i="5" s="1"/>
  <c r="B4" i="5" s="1"/>
  <c r="B5" i="5" s="1"/>
  <c r="D34" i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<sst xmlns="http://schemas.openxmlformats.org/spreadsheetml/2006/main" count="260" uniqueCount="213">
  <si>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</si>
  <si>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</si>
  <si>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</si>
  <si>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</si>
  <si>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</si>
  <si>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</si>
  <si>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</si>
  <si>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</si>
  <si>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</si>
  <si>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</si>
  <si>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</si>
  <si>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</si>
  <si>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</si>
  <si>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</si>
  <si>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</si>
  <si>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</si>
  <si>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</si>
  <si>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</si>
  <si>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</si>
  <si>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</si>
  <si>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</si>
  <si>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</si>
  <si>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</si>
  <si>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</si>
  <si>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</si>
  <si>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</si>
  <si>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</si>
  <si>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</si>
  <si>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</si>
  <si>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</si>
  <si>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</si>
  <si>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</si>
  <si>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</si>
  <si>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</si>
  <si>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</si>
  <si>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</si>
  <si>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</si>
  <si>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</si>
  <si>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</si>
  <si>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</si>
  <si>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</si>
  <si>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</si>
  <si>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</si>
  <si>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</si>
  <si>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</si>
  <si>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</si>
  <si>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</si>
  <si>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</si>
  <si>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</si>
  <si>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</si>
  <si>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</si>
  <si>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</si>
  <si>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</si>
  <si>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</si>
  <si>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</si>
  <si>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</si>
  <si>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</si>
  <si>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</si>
  <si>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</si>
  <si>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</si>
  <si>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</si>
  <si>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</si>
  <si>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</si>
  <si>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</si>
  <si>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</si>
  <si>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</si>
  <si>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</si>
  <si>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</si>
  <si>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</si>
  <si>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</si>
  <si>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</si>
  <si>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</si>
  <si>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</si>
  <si>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</si>
  <si>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</si>
  <si>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</si>
  <si>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</si>
  <si>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</si>
  <si>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</si>
  <si>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</si>
  <si>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</si>
  <si>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</si>
  <si>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</si>
  <si>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</si>
  <si>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</si>
  <si>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</si>
  <si>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</si>
  <si>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</si>
  <si>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</si>
  <si>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</si>
  <si>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</si>
  <si>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</si>
  <si>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</si>
  <si>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</si>
  <si>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</si>
  <si>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</si>
  <si>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</si>
  <si>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</si>
  <si>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</si>
  <si>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</si>
  <si>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</si>
  <si>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</si>
  <si>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</si>
  <si>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</si>
  <si>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</si>
  <si>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</si>
  <si>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</si>
  <si>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</si>
  <si>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</si>
  <si>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</si>
  <si>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</si>
  <si>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</si>
  <si>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</si>
  <si>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</si>
  <si>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</si>
  <si>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</si>
  <si>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</si>
  <si>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</si>
  <si>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</si>
  <si>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</si>
  <si>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</si>
  <si>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</si>
  <si>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</si>
  <si>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</si>
  <si>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</si>
  <si>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</si>
  <si>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</si>
  <si>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</si>
  <si>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</si>
  <si>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</si>
  <si>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</si>
  <si>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</si>
  <si>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</si>
  <si>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</si>
  <si>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</si>
  <si>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</si>
  <si>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</si>
  <si>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</si>
  <si>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</si>
  <si>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</si>
  <si>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</si>
  <si>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</si>
  <si>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</si>
  <si>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</si>
  <si>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</si>
  <si>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</si>
  <si>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</si>
  <si>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</si>
  <si>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</si>
  <si>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</si>
  <si>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</si>
  <si>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</si>
  <si>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</si>
  <si>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</si>
  <si>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</si>
  <si>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</si>
  <si>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</si>
  <si>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</si>
  <si>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</si>
  <si>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</si>
  <si>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</si>
  <si>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</si>
  <si>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</si>
  <si>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</si>
  <si>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</si>
  <si>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</si>
  <si>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</si>
  <si>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</si>
  <si>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</si>
  <si>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</si>
  <si>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</si>
  <si>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</si>
  <si>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</si>
  <si>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</si>
  <si>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</si>
  <si>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</si>
  <si>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</si>
  <si>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</si>
  <si>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</si>
  <si>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</si>
  <si>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</si>
  <si>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</si>
  <si>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</si>
  <si>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</si>
  <si>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</si>
  <si>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</si>
  <si>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</si>
  <si>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</si>
  <si>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</si>
  <si>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</si>
  <si>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</si>
  <si>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</si>
  <si>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</si>
  <si>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</si>
  <si>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</si>
  <si>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</si>
  <si>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</si>
  <si>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</si>
  <si>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</si>
  <si>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</si>
  <si>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</si>
  <si>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</si>
  <si>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</si>
  <si>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</si>
  <si>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</si>
  <si>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</si>
  <si>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 xml:space="preserve">Investissement </t>
  </si>
  <si>
    <t>Durée de retour:
Investissement/Excédent</t>
  </si>
  <si>
    <t>Excédent</t>
  </si>
  <si>
    <t>Charges+impots+interêt</t>
  </si>
  <si>
    <t>Revenu annuel 
 de l'investissement</t>
  </si>
  <si>
    <t>de l'investissement</t>
  </si>
  <si>
    <t>du revenu brut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</si>
</sst>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_-* #,##0\ &quot;€&quot;_-;\-* #,##0\ &quot;€&quot;_-;_-* &quot;-&quot;??\ &quot;€&quot;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70" fontId="0" fillId="0" borderId="1" xfId="39" applyNumberFormat="1" applyFont="1" applyBorder="1"/>
    <xf numFmtId="170" fontId="0" fillId="0" borderId="1" xfId="0" applyNumberFormat="1" applyBorder="1"/>
    <xf numFmtId="2" fontId="0" fillId="0" borderId="1" xfId="0" applyNumberFormat="1" applyBorder="1"/>
    <xf numFmtId="6" fontId="0" fillId="10" borderId="1" xfId="0" applyNumberFormat="1" applyFill="1" applyBorder="1"/>
    <xf numFmtId="170" fontId="0" fillId="10" borderId="1" xfId="0" applyNumberFormat="1" applyFill="1" applyBorder="1"/>
    <xf numFmtId="0" fontId="0" fillId="0" borderId="2" xfId="0" applyBorder="1"/>
    <xf numFmtId="9" fontId="0" fillId="0" borderId="2" xfId="1" applyFont="1" applyBorder="1"/>
    <xf numFmtId="0" fontId="0" fillId="0" borderId="3" xfId="0" applyBorder="1"/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13" zoomScale="80" zoomScaleNormal="80" workbookViewId="0">
      <selection activeCell="Q39" sqref="Q39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2.6640625" style="41" customWidth="1"/>
    <col min="5" max="5" width="8.44140625" style="41" customWidth="1"/>
    <col min="6" max="6" width="10.6640625" style="41" customWidth="1"/>
    <col min="7" max="11" width="8.44140625" style="41" customWidth="1"/>
    <col min="12" max="12" width="10.33203125" style="41" customWidth="1"/>
    <col min="13" max="13" width="9.5546875" style="41" customWidth="1"/>
    <col min="14" max="23" width="8.44140625" style="41" customWidth="1"/>
    <col min="24" max="25" width="11.5546875" style="41"/>
    <col min="26" max="26" width="14.6640625" style="41" customWidth="1"/>
    <col min="27" max="27" width="11.5546875" style="112"/>
    <col min="28" max="32" width="11.5546875" style="112" customWidth="1"/>
    <col min="33" max="35" width="11.5546875" style="112"/>
    <col min="36" max="16384" width="11.5546875" style="41"/>
  </cols>
  <sheetData>
    <row r="1" spans="1:39" s="40" customFormat="1" ht="16.95" customHeight="1" x14ac:dyDescent="0.4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95" customHeight="1" x14ac:dyDescent="0.3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73" t="s">
        <v>0</v>
      </c>
      <c r="L6" s="173"/>
      <c r="M6" s="173"/>
      <c r="N6" s="173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95" customHeight="1" x14ac:dyDescent="0.3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4.4" x14ac:dyDescent="0.3">
      <c r="A8" s="167" t="s">
        <v>23</v>
      </c>
      <c r="B8" s="168"/>
      <c r="C8" s="55">
        <f>ENCAISSEMENTS!C39</f>
        <v>200</v>
      </c>
      <c r="F8" s="167" t="s">
        <v>42</v>
      </c>
      <c r="G8" s="169"/>
      <c r="H8" s="168"/>
      <c r="I8" s="85">
        <v>5.0000000000000001E-3</v>
      </c>
      <c r="K8" s="167" t="s">
        <v>173</v>
      </c>
      <c r="L8" s="168"/>
      <c r="M8" s="57">
        <f>M9*M10</f>
        <v>32500</v>
      </c>
      <c r="N8" s="58">
        <f>M8/C11</f>
        <v>0.65</v>
      </c>
      <c r="O8" s="167" t="s">
        <v>87</v>
      </c>
      <c r="P8" s="168"/>
      <c r="Q8" s="81"/>
      <c r="R8" s="41"/>
      <c r="S8" s="167" t="s">
        <v>192</v>
      </c>
      <c r="T8" s="169"/>
      <c r="U8" s="168"/>
      <c r="V8" s="154">
        <f>(M8+M14)/C11</f>
        <v>0.65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4.4" x14ac:dyDescent="0.3">
      <c r="A9" s="171" t="s">
        <v>24</v>
      </c>
      <c r="B9" s="172"/>
      <c r="C9" s="59">
        <f>ENCAISSEMENTS!D39</f>
        <v>36</v>
      </c>
      <c r="F9" s="167" t="s">
        <v>3</v>
      </c>
      <c r="G9" s="169"/>
      <c r="H9" s="168"/>
      <c r="I9" s="85">
        <v>5.0000000000000001E-3</v>
      </c>
      <c r="K9" s="171" t="s">
        <v>96</v>
      </c>
      <c r="L9" s="172"/>
      <c r="M9" s="80">
        <v>650</v>
      </c>
      <c r="O9" s="167" t="s">
        <v>168</v>
      </c>
      <c r="P9" s="168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4.4" x14ac:dyDescent="0.3">
      <c r="A10" s="167" t="s">
        <v>26</v>
      </c>
      <c r="B10" s="168"/>
      <c r="C10" s="60">
        <f>ENCAISSEMENTS!E39</f>
        <v>44900</v>
      </c>
      <c r="F10" s="167" t="s">
        <v>4</v>
      </c>
      <c r="G10" s="169"/>
      <c r="H10" s="168"/>
      <c r="I10" s="82">
        <v>0.01</v>
      </c>
      <c r="K10" s="171" t="s">
        <v>97</v>
      </c>
      <c r="L10" s="172"/>
      <c r="M10" s="84">
        <v>50</v>
      </c>
      <c r="O10" s="167" t="s">
        <v>12</v>
      </c>
      <c r="P10" s="168"/>
      <c r="Q10" s="79"/>
      <c r="S10" s="167" t="s">
        <v>193</v>
      </c>
      <c r="T10" s="169"/>
      <c r="U10" s="168"/>
      <c r="V10" s="153">
        <f>DECAISSEMENTS!C39/(ENCAISSEMENTS!D39*1000)</f>
        <v>1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4.4" x14ac:dyDescent="0.3">
      <c r="A11" s="131" t="s">
        <v>28</v>
      </c>
      <c r="B11" s="132"/>
      <c r="C11" s="61">
        <f>DECAISSEMENTS!M39</f>
        <v>50000</v>
      </c>
      <c r="F11" s="167" t="s">
        <v>43</v>
      </c>
      <c r="G11" s="169"/>
      <c r="H11" s="168"/>
      <c r="I11" s="86">
        <v>0.57499999999999996</v>
      </c>
      <c r="K11" s="167" t="s">
        <v>30</v>
      </c>
      <c r="L11" s="168"/>
      <c r="M11" s="57">
        <f>1.01*C11-M8-Q8-M14</f>
        <v>18000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4.4" x14ac:dyDescent="0.3">
      <c r="A12" s="131" t="s">
        <v>25</v>
      </c>
      <c r="B12" s="132"/>
      <c r="C12" s="61">
        <f>ENCAISSEMENTS!H39</f>
        <v>5096.1499999999996</v>
      </c>
      <c r="F12" s="167" t="s">
        <v>44</v>
      </c>
      <c r="G12" s="169"/>
      <c r="H12" s="168"/>
      <c r="I12" s="86">
        <v>0.57499999999999996</v>
      </c>
      <c r="K12" s="171" t="s">
        <v>45</v>
      </c>
      <c r="L12" s="172"/>
      <c r="M12" s="83">
        <v>8.9999999999999993E-3</v>
      </c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4.4" x14ac:dyDescent="0.3">
      <c r="A13" s="131" t="s">
        <v>29</v>
      </c>
      <c r="B13" s="132"/>
      <c r="C13" s="62">
        <f>DECAISSEMENTS!K80</f>
        <v>712</v>
      </c>
      <c r="F13" s="167" t="s">
        <v>14</v>
      </c>
      <c r="G13" s="169"/>
      <c r="H13" s="168"/>
      <c r="I13" s="86">
        <v>0.03</v>
      </c>
      <c r="K13" s="171" t="s">
        <v>12</v>
      </c>
      <c r="L13" s="172"/>
      <c r="M13" s="80">
        <v>10</v>
      </c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4.4" x14ac:dyDescent="0.3">
      <c r="A14" s="167" t="s">
        <v>38</v>
      </c>
      <c r="B14" s="168"/>
      <c r="C14" s="62">
        <f>DECAISSEMENTS!E84+DECAISSEMENTS!E85</f>
        <v>0</v>
      </c>
      <c r="F14" s="167" t="s">
        <v>34</v>
      </c>
      <c r="G14" s="169"/>
      <c r="H14" s="168"/>
      <c r="I14" s="86">
        <v>0.17199999999999999</v>
      </c>
      <c r="K14" s="171" t="s">
        <v>191</v>
      </c>
      <c r="L14" s="172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" customHeight="1" x14ac:dyDescent="0.3">
      <c r="A15" s="171" t="s">
        <v>63</v>
      </c>
      <c r="B15" s="172"/>
      <c r="C15" s="62">
        <f>DECAISSEMENTS!E86</f>
        <v>0</v>
      </c>
      <c r="F15" s="180" t="s">
        <v>46</v>
      </c>
      <c r="G15" s="181"/>
      <c r="H15" s="182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" customHeight="1" x14ac:dyDescent="0.3">
      <c r="A16" s="171" t="s">
        <v>190</v>
      </c>
      <c r="B16" s="172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95" customHeight="1" x14ac:dyDescent="0.3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95" customHeight="1" x14ac:dyDescent="0.3">
      <c r="A18" s="173" t="s">
        <v>2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95" customHeight="1" thickBot="1" x14ac:dyDescent="0.35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74" t="s">
        <v>31</v>
      </c>
      <c r="B21" s="175"/>
      <c r="C21" s="127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95" customHeight="1" x14ac:dyDescent="0.3">
      <c r="A22" s="174" t="s">
        <v>1</v>
      </c>
      <c r="B22" s="175"/>
      <c r="C22" s="127"/>
      <c r="D22" s="60">
        <f>C14+C13</f>
        <v>712</v>
      </c>
      <c r="E22" s="60">
        <f t="shared" ref="E22:M22" si="6">$C$13*(1+inflation)^(E20-1)</f>
        <v>719.12</v>
      </c>
      <c r="F22" s="60">
        <f t="shared" si="6"/>
        <v>726.31119999999999</v>
      </c>
      <c r="G22" s="60">
        <f t="shared" si="6"/>
        <v>733.57431199999996</v>
      </c>
      <c r="H22" s="60">
        <f t="shared" si="6"/>
        <v>740.91005512000004</v>
      </c>
      <c r="I22" s="60">
        <f t="shared" si="6"/>
        <v>748.31915567119995</v>
      </c>
      <c r="J22" s="60">
        <f t="shared" si="6"/>
        <v>755.80234722791215</v>
      </c>
      <c r="K22" s="60">
        <f t="shared" si="6"/>
        <v>763.36037070019097</v>
      </c>
      <c r="L22" s="60">
        <f t="shared" si="6"/>
        <v>770.99397440719315</v>
      </c>
      <c r="M22" s="60">
        <f t="shared" si="6"/>
        <v>778.70391415126505</v>
      </c>
      <c r="N22" s="60">
        <f>(C15+C13+C16/5)*(1+inflation)^(N20-1)</f>
        <v>786.49095329277782</v>
      </c>
      <c r="O22" s="60">
        <f>($C$13+C16/5)*(1+inflation)^(O20-1)</f>
        <v>794.35586282570534</v>
      </c>
      <c r="P22" s="60">
        <f>($C$13+C16/5)*(1+inflation)^(P20-1)</f>
        <v>802.29942145396251</v>
      </c>
      <c r="Q22" s="60">
        <f>($C$13+C16/5)*(1+inflation)^(Q20-1)</f>
        <v>810.32241566850212</v>
      </c>
      <c r="R22" s="60">
        <f>($C$13+C16/5)*(1+inflation)^(R20-1)</f>
        <v>818.4256398251872</v>
      </c>
      <c r="S22" s="60">
        <f t="shared" ref="S22:W22" si="7">$C$13*(1+inflation)^(S20-1)</f>
        <v>826.60989622343891</v>
      </c>
      <c r="T22" s="60">
        <f t="shared" si="7"/>
        <v>834.87599518567356</v>
      </c>
      <c r="U22" s="60">
        <f t="shared" si="7"/>
        <v>843.22475513753034</v>
      </c>
      <c r="V22" s="60">
        <f t="shared" si="7"/>
        <v>851.65700268890566</v>
      </c>
      <c r="W22" s="60">
        <f t="shared" si="7"/>
        <v>860.17357271579453</v>
      </c>
      <c r="AB22" s="112">
        <f t="shared" si="3"/>
        <v>610</v>
      </c>
      <c r="AF22" s="114">
        <f t="shared" si="5"/>
        <v>0.90000000000000024</v>
      </c>
    </row>
    <row r="23" spans="1:44" s="67" customFormat="1" ht="16.95" customHeight="1" x14ac:dyDescent="0.3">
      <c r="A23" s="176" t="s">
        <v>5</v>
      </c>
      <c r="B23" s="177"/>
      <c r="C23" s="129"/>
      <c r="D23" s="66">
        <f>D21-D22</f>
        <v>4333.1884999999993</v>
      </c>
      <c r="E23" s="66">
        <f t="shared" ref="E23:W23" si="8">E21-E22</f>
        <v>4325.9423702874983</v>
      </c>
      <c r="F23" s="66">
        <f t="shared" si="8"/>
        <v>4318.6250437282406</v>
      </c>
      <c r="G23" s="66">
        <f t="shared" si="8"/>
        <v>4311.2358083221479</v>
      </c>
      <c r="H23" s="66">
        <f t="shared" si="8"/>
        <v>4303.7739449491382</v>
      </c>
      <c r="I23" s="66">
        <f t="shared" si="8"/>
        <v>4296.2387272979358</v>
      </c>
      <c r="J23" s="66">
        <f t="shared" si="8"/>
        <v>4288.6294217941486</v>
      </c>
      <c r="K23" s="66">
        <f t="shared" si="8"/>
        <v>4280.9452875276429</v>
      </c>
      <c r="L23" s="66">
        <f t="shared" si="8"/>
        <v>4273.185576179184</v>
      </c>
      <c r="M23" s="66">
        <f t="shared" si="8"/>
        <v>4265.3495319463473</v>
      </c>
      <c r="N23" s="66">
        <f t="shared" si="8"/>
        <v>4257.4363914686819</v>
      </c>
      <c r="O23" s="66">
        <f t="shared" si="8"/>
        <v>4249.4453837521351</v>
      </c>
      <c r="P23" s="66">
        <f t="shared" si="8"/>
        <v>4241.3757300927127</v>
      </c>
      <c r="Q23" s="66">
        <f t="shared" si="8"/>
        <v>4233.2266439993846</v>
      </c>
      <c r="R23" s="66">
        <f t="shared" si="8"/>
        <v>4224.9973311162057</v>
      </c>
      <c r="S23" s="66">
        <f t="shared" si="8"/>
        <v>4216.6869891436791</v>
      </c>
      <c r="T23" s="66">
        <f t="shared" si="8"/>
        <v>4208.2948077593101</v>
      </c>
      <c r="U23" s="66">
        <f t="shared" si="8"/>
        <v>4199.8199685373793</v>
      </c>
      <c r="V23" s="66">
        <f t="shared" si="8"/>
        <v>4191.26164486791</v>
      </c>
      <c r="W23" s="66">
        <f t="shared" si="8"/>
        <v>4182.6190018748321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95" customHeight="1" x14ac:dyDescent="0.3">
      <c r="A24" s="174" t="s">
        <v>84</v>
      </c>
      <c r="B24" s="175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95" customHeight="1" x14ac:dyDescent="0.3">
      <c r="A25" s="176" t="s">
        <v>6</v>
      </c>
      <c r="B25" s="177"/>
      <c r="C25" s="129"/>
      <c r="D25" s="66">
        <f>D23-D24</f>
        <v>4333.1884999999993</v>
      </c>
      <c r="E25" s="66">
        <f t="shared" ref="E25:I25" si="10">E23-E24</f>
        <v>4325.9423702874983</v>
      </c>
      <c r="F25" s="66">
        <f t="shared" si="10"/>
        <v>4318.6250437282406</v>
      </c>
      <c r="G25" s="66">
        <f t="shared" si="10"/>
        <v>4311.2358083221479</v>
      </c>
      <c r="H25" s="66">
        <f t="shared" si="10"/>
        <v>4303.7739449491382</v>
      </c>
      <c r="I25" s="66">
        <f t="shared" si="10"/>
        <v>4296.2387272979358</v>
      </c>
      <c r="J25" s="66">
        <f t="shared" ref="J25" si="11">J23-J24</f>
        <v>4288.6294217941486</v>
      </c>
      <c r="K25" s="66">
        <f t="shared" ref="K25" si="12">K23-K24</f>
        <v>4280.9452875276429</v>
      </c>
      <c r="L25" s="66">
        <f t="shared" ref="L25" si="13">L23-L24</f>
        <v>4273.185576179184</v>
      </c>
      <c r="M25" s="66">
        <f t="shared" ref="M25" si="14">M23-M24</f>
        <v>4265.3495319463473</v>
      </c>
      <c r="N25" s="66">
        <f t="shared" ref="N25" si="15">N23-N24</f>
        <v>4257.4363914686819</v>
      </c>
      <c r="O25" s="66">
        <f t="shared" ref="O25" si="16">O23-O24</f>
        <v>4249.4453837521351</v>
      </c>
      <c r="P25" s="66">
        <f t="shared" ref="P25" si="17">P23-P24</f>
        <v>4241.3757300927127</v>
      </c>
      <c r="Q25" s="66">
        <f t="shared" ref="Q25" si="18">Q23-Q24</f>
        <v>4233.2266439993846</v>
      </c>
      <c r="R25" s="66">
        <f t="shared" ref="R25" si="19">R23-R24</f>
        <v>4224.9973311162057</v>
      </c>
      <c r="S25" s="66">
        <f t="shared" ref="S25" si="20">S23-S24</f>
        <v>4216.6869891436791</v>
      </c>
      <c r="T25" s="66">
        <f t="shared" ref="T25" si="21">T23-T24</f>
        <v>4208.2948077593101</v>
      </c>
      <c r="U25" s="66">
        <f t="shared" ref="U25" si="22">U23-U24</f>
        <v>4199.8199685373793</v>
      </c>
      <c r="V25" s="66">
        <f t="shared" ref="V25" si="23">V23-V24</f>
        <v>4191.26164486791</v>
      </c>
      <c r="W25" s="66">
        <f t="shared" ref="W25" si="24">W23-W24</f>
        <v>4182.6190018748321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95" customHeight="1" x14ac:dyDescent="0.3">
      <c r="A26" s="174" t="s">
        <v>7</v>
      </c>
      <c r="B26" s="175"/>
      <c r="C26" s="127"/>
      <c r="D26" s="60">
        <f>($C$11-$M$14)/20</f>
        <v>2500</v>
      </c>
      <c r="E26" s="60">
        <f t="shared" ref="E26:W26" si="25">($C$11-$M$14)/20</f>
        <v>2500</v>
      </c>
      <c r="F26" s="60">
        <f t="shared" si="25"/>
        <v>2500</v>
      </c>
      <c r="G26" s="60">
        <f t="shared" si="25"/>
        <v>2500</v>
      </c>
      <c r="H26" s="60">
        <f t="shared" si="25"/>
        <v>2500</v>
      </c>
      <c r="I26" s="60">
        <f t="shared" si="25"/>
        <v>2500</v>
      </c>
      <c r="J26" s="60">
        <f t="shared" si="25"/>
        <v>2500</v>
      </c>
      <c r="K26" s="60">
        <f t="shared" si="25"/>
        <v>2500</v>
      </c>
      <c r="L26" s="60">
        <f t="shared" si="25"/>
        <v>2500</v>
      </c>
      <c r="M26" s="60">
        <f t="shared" si="25"/>
        <v>2500</v>
      </c>
      <c r="N26" s="60">
        <f t="shared" si="25"/>
        <v>2500</v>
      </c>
      <c r="O26" s="60">
        <f t="shared" si="25"/>
        <v>2500</v>
      </c>
      <c r="P26" s="60">
        <f t="shared" si="25"/>
        <v>2500</v>
      </c>
      <c r="Q26" s="60">
        <f t="shared" si="25"/>
        <v>2500</v>
      </c>
      <c r="R26" s="60">
        <f t="shared" si="25"/>
        <v>2500</v>
      </c>
      <c r="S26" s="60">
        <f t="shared" si="25"/>
        <v>2500</v>
      </c>
      <c r="T26" s="60">
        <f t="shared" si="25"/>
        <v>2500</v>
      </c>
      <c r="U26" s="60">
        <f t="shared" si="25"/>
        <v>2500</v>
      </c>
      <c r="V26" s="60">
        <f t="shared" si="25"/>
        <v>2500</v>
      </c>
      <c r="W26" s="60">
        <f t="shared" si="25"/>
        <v>2500</v>
      </c>
      <c r="AB26" s="112">
        <f t="shared" si="3"/>
        <v>650</v>
      </c>
      <c r="AF26" s="114"/>
    </row>
    <row r="27" spans="1:44" ht="14.4" x14ac:dyDescent="0.3">
      <c r="A27" s="175" t="s">
        <v>8</v>
      </c>
      <c r="B27" s="178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95" customHeight="1" x14ac:dyDescent="0.3">
      <c r="A28" s="176" t="s">
        <v>9</v>
      </c>
      <c r="B28" s="177"/>
      <c r="C28" s="129"/>
      <c r="D28" s="66">
        <f t="shared" ref="D28:W28" si="26">D25-D26-D27</f>
        <v>1833.1884999999993</v>
      </c>
      <c r="E28" s="66">
        <f t="shared" si="26"/>
        <v>1825.9423702874983</v>
      </c>
      <c r="F28" s="66">
        <f t="shared" si="26"/>
        <v>1818.6250437282406</v>
      </c>
      <c r="G28" s="66">
        <f t="shared" si="26"/>
        <v>1811.2358083221479</v>
      </c>
      <c r="H28" s="66">
        <f t="shared" si="26"/>
        <v>1803.7739449491382</v>
      </c>
      <c r="I28" s="66">
        <f t="shared" si="26"/>
        <v>1796.2387272979358</v>
      </c>
      <c r="J28" s="66">
        <f t="shared" si="26"/>
        <v>1788.6294217941486</v>
      </c>
      <c r="K28" s="66">
        <f t="shared" si="26"/>
        <v>1780.9452875276429</v>
      </c>
      <c r="L28" s="66">
        <f t="shared" si="26"/>
        <v>1773.185576179184</v>
      </c>
      <c r="M28" s="66">
        <f t="shared" si="26"/>
        <v>1765.3495319463473</v>
      </c>
      <c r="N28" s="66">
        <f t="shared" si="26"/>
        <v>1757.4363914686819</v>
      </c>
      <c r="O28" s="66">
        <f t="shared" si="26"/>
        <v>1749.4453837521351</v>
      </c>
      <c r="P28" s="66">
        <f t="shared" si="26"/>
        <v>1741.3757300927127</v>
      </c>
      <c r="Q28" s="66">
        <f t="shared" si="26"/>
        <v>1733.2266439993846</v>
      </c>
      <c r="R28" s="66">
        <f t="shared" si="26"/>
        <v>1724.9973311162057</v>
      </c>
      <c r="S28" s="66">
        <f t="shared" si="26"/>
        <v>1716.6869891436791</v>
      </c>
      <c r="T28" s="66">
        <f t="shared" si="26"/>
        <v>1708.2948077593101</v>
      </c>
      <c r="U28" s="66">
        <f t="shared" si="26"/>
        <v>1699.8199685373793</v>
      </c>
      <c r="V28" s="66">
        <f t="shared" si="26"/>
        <v>1691.26164486791</v>
      </c>
      <c r="W28" s="66">
        <f t="shared" si="26"/>
        <v>1682.6190018748321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95" customHeight="1" x14ac:dyDescent="0.3">
      <c r="A29" s="183" t="s">
        <v>13</v>
      </c>
      <c r="B29" s="184"/>
      <c r="C29" s="126"/>
      <c r="D29" s="60">
        <f t="shared" ref="D29:W29" si="27">IF(D20&lt;=$M$13,-IPMT($M$12,D20,$M$13,$M$11),0)</f>
        <v>162</v>
      </c>
      <c r="E29" s="60">
        <f t="shared" si="27"/>
        <v>146.4453242311705</v>
      </c>
      <c r="F29" s="60">
        <f t="shared" si="27"/>
        <v>130.75065638042165</v>
      </c>
      <c r="G29" s="60">
        <f t="shared" si="27"/>
        <v>114.914736519016</v>
      </c>
      <c r="H29" s="60">
        <f t="shared" si="27"/>
        <v>98.936293378857712</v>
      </c>
      <c r="I29" s="60">
        <f t="shared" si="27"/>
        <v>82.814044250437988</v>
      </c>
      <c r="J29" s="60">
        <f t="shared" si="27"/>
        <v>66.546694879862486</v>
      </c>
      <c r="K29" s="60">
        <f t="shared" si="27"/>
        <v>50.13293936495181</v>
      </c>
      <c r="L29" s="60">
        <f t="shared" si="27"/>
        <v>33.571460050406941</v>
      </c>
      <c r="M29" s="60">
        <f t="shared" si="27"/>
        <v>16.860927422031157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4.4" x14ac:dyDescent="0.3">
      <c r="A30" s="174" t="s">
        <v>64</v>
      </c>
      <c r="B30" s="175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95" customHeight="1" x14ac:dyDescent="0.3">
      <c r="A31" s="176" t="s">
        <v>10</v>
      </c>
      <c r="B31" s="177"/>
      <c r="C31" s="129"/>
      <c r="D31" s="66">
        <f t="shared" ref="D31:W31" si="29">D28-D29-D30</f>
        <v>1671.1884999999993</v>
      </c>
      <c r="E31" s="66">
        <f t="shared" si="29"/>
        <v>1679.4970460563277</v>
      </c>
      <c r="F31" s="66">
        <f t="shared" si="29"/>
        <v>1687.874387347819</v>
      </c>
      <c r="G31" s="66">
        <f t="shared" si="29"/>
        <v>1696.3210718031319</v>
      </c>
      <c r="H31" s="66">
        <f t="shared" si="29"/>
        <v>1704.8376515702805</v>
      </c>
      <c r="I31" s="66">
        <f t="shared" si="29"/>
        <v>1713.4246830474979</v>
      </c>
      <c r="J31" s="66">
        <f t="shared" si="29"/>
        <v>1722.082726914286</v>
      </c>
      <c r="K31" s="66">
        <f t="shared" si="29"/>
        <v>1730.812348162691</v>
      </c>
      <c r="L31" s="66">
        <f t="shared" si="29"/>
        <v>1739.6141161287769</v>
      </c>
      <c r="M31" s="66">
        <f t="shared" si="29"/>
        <v>1748.4886045243161</v>
      </c>
      <c r="N31" s="66">
        <f t="shared" si="29"/>
        <v>1757.4363914686819</v>
      </c>
      <c r="O31" s="66">
        <f t="shared" si="29"/>
        <v>1749.4453837521351</v>
      </c>
      <c r="P31" s="66">
        <f t="shared" si="29"/>
        <v>1741.3757300927127</v>
      </c>
      <c r="Q31" s="66">
        <f t="shared" si="29"/>
        <v>1733.2266439993846</v>
      </c>
      <c r="R31" s="66">
        <f t="shared" si="29"/>
        <v>1724.9973311162057</v>
      </c>
      <c r="S31" s="66">
        <f t="shared" si="29"/>
        <v>1716.6869891436791</v>
      </c>
      <c r="T31" s="66">
        <f t="shared" si="29"/>
        <v>1708.2948077593101</v>
      </c>
      <c r="U31" s="66">
        <f t="shared" si="29"/>
        <v>1699.8199685373793</v>
      </c>
      <c r="V31" s="66">
        <f t="shared" si="29"/>
        <v>1691.26164486791</v>
      </c>
      <c r="W31" s="66">
        <f t="shared" si="29"/>
        <v>1682.6190018748321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4.4" x14ac:dyDescent="0.3">
      <c r="A32" s="174" t="s">
        <v>47</v>
      </c>
      <c r="B32" s="175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4.4" x14ac:dyDescent="0.3">
      <c r="A33" s="174" t="s">
        <v>82</v>
      </c>
      <c r="B33" s="175"/>
      <c r="C33" s="127"/>
      <c r="D33" s="60">
        <f>IF(D31&lt;0,0,IF(D31&lt;38120,IF(B4="SAS",0.15*D31,0.15*D31*(1-I11)),IF(B4="SAS",0.33*D31,0.33*D31*(1-I11))))</f>
        <v>106.53826687499996</v>
      </c>
      <c r="E33" s="60">
        <f>IF(E31+D32&lt;0,0,IF(E31&lt;38120,IF($B$4="SAS",0.15*(E31+D32),0.15*(E31+D32)*(1-$I$11)),IF($B$4="SAS",0.33*(E31+D32),0.33*(1-$I$11)*(E31+D32))))</f>
        <v>107.0679366860909</v>
      </c>
      <c r="F33" s="60">
        <f>IF(F31+E32&lt;0,0,IF(F31&lt;38120,IF($B$4="SAS",0.15*(F31+E32),0.15*(F31+E32)*(1-$I$11)),IF($B$4="SAS",0.33*(F31+E32),0.33*(1-$I$11)*(F31+E32))))</f>
        <v>107.60199219342347</v>
      </c>
      <c r="G33" s="60">
        <f t="shared" ref="G33:W33" si="41">IF(G31+F32&lt;0,0,IF(G31&lt;38120,IF($B$4="SAS",0.15*(G31+F32),0.15*(G31+F32)*(1-$I$12)),IF($B$4="SAS",0.33*(G31+F32),0.33*(1-$I$12)*(G31+F32))))</f>
        <v>108.14046832744967</v>
      </c>
      <c r="H33" s="60">
        <f t="shared" si="41"/>
        <v>108.68340028760538</v>
      </c>
      <c r="I33" s="60">
        <f t="shared" si="41"/>
        <v>109.230823544278</v>
      </c>
      <c r="J33" s="60">
        <f t="shared" si="41"/>
        <v>109.78277384078575</v>
      </c>
      <c r="K33" s="60">
        <f t="shared" si="41"/>
        <v>110.33928719537157</v>
      </c>
      <c r="L33" s="60">
        <f t="shared" si="41"/>
        <v>110.90039990320953</v>
      </c>
      <c r="M33" s="60">
        <f t="shared" si="41"/>
        <v>111.46614853842516</v>
      </c>
      <c r="N33" s="60">
        <f t="shared" si="41"/>
        <v>112.03656995612849</v>
      </c>
      <c r="O33" s="60">
        <f t="shared" si="41"/>
        <v>111.5271432141986</v>
      </c>
      <c r="P33" s="60">
        <f t="shared" si="41"/>
        <v>111.01270279341044</v>
      </c>
      <c r="Q33" s="60">
        <f t="shared" si="41"/>
        <v>110.49319855496078</v>
      </c>
      <c r="R33" s="60">
        <f t="shared" si="41"/>
        <v>109.96857985865813</v>
      </c>
      <c r="S33" s="60">
        <f t="shared" si="41"/>
        <v>109.43879555790956</v>
      </c>
      <c r="T33" s="60">
        <f t="shared" si="41"/>
        <v>108.90379399465603</v>
      </c>
      <c r="U33" s="60">
        <f t="shared" si="41"/>
        <v>108.36352299425793</v>
      </c>
      <c r="V33" s="60">
        <f t="shared" si="41"/>
        <v>107.81792986032927</v>
      </c>
      <c r="W33" s="60">
        <f t="shared" si="41"/>
        <v>107.26696136952056</v>
      </c>
      <c r="AB33" s="112">
        <f t="shared" si="3"/>
        <v>720</v>
      </c>
      <c r="AF33" s="114"/>
    </row>
    <row r="34" spans="1:35" s="67" customFormat="1" ht="16.95" customHeight="1" x14ac:dyDescent="0.3">
      <c r="A34" s="176" t="s">
        <v>11</v>
      </c>
      <c r="B34" s="177"/>
      <c r="C34" s="129"/>
      <c r="D34" s="66">
        <f t="shared" ref="D34:W34" si="42">D31-D33</f>
        <v>1564.6502331249994</v>
      </c>
      <c r="E34" s="66">
        <f t="shared" si="42"/>
        <v>1572.4291093702368</v>
      </c>
      <c r="F34" s="66">
        <f t="shared" si="42"/>
        <v>1580.2723951543956</v>
      </c>
      <c r="G34" s="66">
        <f t="shared" si="42"/>
        <v>1588.1806034756821</v>
      </c>
      <c r="H34" s="66">
        <f t="shared" si="42"/>
        <v>1596.1542512826752</v>
      </c>
      <c r="I34" s="66">
        <f t="shared" si="42"/>
        <v>1604.1938595032198</v>
      </c>
      <c r="J34" s="66">
        <f t="shared" si="42"/>
        <v>1612.2999530735003</v>
      </c>
      <c r="K34" s="66">
        <f t="shared" si="42"/>
        <v>1620.4730609673195</v>
      </c>
      <c r="L34" s="66">
        <f t="shared" si="42"/>
        <v>1628.7137162255674</v>
      </c>
      <c r="M34" s="66">
        <f t="shared" si="42"/>
        <v>1637.0224559858909</v>
      </c>
      <c r="N34" s="66">
        <f t="shared" si="42"/>
        <v>1645.3998215125534</v>
      </c>
      <c r="O34" s="66">
        <f t="shared" si="42"/>
        <v>1637.9182405379365</v>
      </c>
      <c r="P34" s="66">
        <f t="shared" si="42"/>
        <v>1630.3630272993023</v>
      </c>
      <c r="Q34" s="66">
        <f t="shared" si="42"/>
        <v>1622.7334454444238</v>
      </c>
      <c r="R34" s="66">
        <f t="shared" si="42"/>
        <v>1615.0287512575476</v>
      </c>
      <c r="S34" s="66">
        <f t="shared" si="42"/>
        <v>1607.2481935857695</v>
      </c>
      <c r="T34" s="66">
        <f t="shared" si="42"/>
        <v>1599.391013764654</v>
      </c>
      <c r="U34" s="66">
        <f t="shared" si="42"/>
        <v>1591.4564455431214</v>
      </c>
      <c r="V34" s="66">
        <f t="shared" si="42"/>
        <v>1583.4437150075807</v>
      </c>
      <c r="W34" s="66">
        <f t="shared" si="42"/>
        <v>1575.3520405053116</v>
      </c>
      <c r="X34" s="156"/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95" customHeight="1" x14ac:dyDescent="0.3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95" customHeight="1" x14ac:dyDescent="0.3">
      <c r="A36" s="174" t="s">
        <v>32</v>
      </c>
      <c r="B36" s="175"/>
      <c r="C36" s="127"/>
      <c r="D36" s="60">
        <f t="shared" ref="D36:W36" si="43">D34+D27+D26</f>
        <v>4064.6502331249994</v>
      </c>
      <c r="E36" s="60">
        <f t="shared" si="43"/>
        <v>4072.4291093702368</v>
      </c>
      <c r="F36" s="60">
        <f t="shared" si="43"/>
        <v>4080.2723951543958</v>
      </c>
      <c r="G36" s="60">
        <f t="shared" si="43"/>
        <v>4088.1806034756819</v>
      </c>
      <c r="H36" s="60">
        <f t="shared" si="43"/>
        <v>4096.1542512826754</v>
      </c>
      <c r="I36" s="60">
        <f t="shared" si="43"/>
        <v>4104.1938595032198</v>
      </c>
      <c r="J36" s="60">
        <f t="shared" si="43"/>
        <v>4112.2999530735005</v>
      </c>
      <c r="K36" s="60">
        <f t="shared" si="43"/>
        <v>4120.4730609673197</v>
      </c>
      <c r="L36" s="60">
        <f t="shared" si="43"/>
        <v>4128.7137162255676</v>
      </c>
      <c r="M36" s="60">
        <f t="shared" si="43"/>
        <v>4137.0224559858907</v>
      </c>
      <c r="N36" s="60">
        <f t="shared" si="43"/>
        <v>4145.3998215125539</v>
      </c>
      <c r="O36" s="60">
        <f t="shared" si="43"/>
        <v>4137.9182405379361</v>
      </c>
      <c r="P36" s="60">
        <f t="shared" si="43"/>
        <v>4130.3630272993023</v>
      </c>
      <c r="Q36" s="60">
        <f t="shared" si="43"/>
        <v>4122.7334454444235</v>
      </c>
      <c r="R36" s="60">
        <f t="shared" si="43"/>
        <v>4115.0287512575478</v>
      </c>
      <c r="S36" s="60">
        <f t="shared" si="43"/>
        <v>4107.2481935857695</v>
      </c>
      <c r="T36" s="60">
        <f t="shared" si="43"/>
        <v>4099.3910137646544</v>
      </c>
      <c r="U36" s="60">
        <f t="shared" si="43"/>
        <v>4091.4564455431214</v>
      </c>
      <c r="V36" s="60">
        <f t="shared" si="43"/>
        <v>4083.443715007581</v>
      </c>
      <c r="W36" s="60">
        <f t="shared" si="43"/>
        <v>4075.3520405053114</v>
      </c>
      <c r="AB36" s="112">
        <f t="shared" si="3"/>
        <v>750</v>
      </c>
      <c r="AF36" s="114"/>
    </row>
    <row r="37" spans="1:35" ht="14.4" x14ac:dyDescent="0.3">
      <c r="A37" s="175" t="s">
        <v>21</v>
      </c>
      <c r="B37" s="178"/>
      <c r="C37" s="133">
        <f>-C11+M14</f>
        <v>-50000</v>
      </c>
      <c r="D37" s="60">
        <f>D36+D30+D29</f>
        <v>4226.6502331249994</v>
      </c>
      <c r="E37" s="60">
        <f>E36+E30+E29</f>
        <v>4218.874433601407</v>
      </c>
      <c r="F37" s="60">
        <f t="shared" ref="F37:W37" si="44">F36+F30+F29</f>
        <v>4211.0230515348176</v>
      </c>
      <c r="G37" s="60">
        <f t="shared" si="44"/>
        <v>4203.0953399946975</v>
      </c>
      <c r="H37" s="60">
        <f t="shared" si="44"/>
        <v>4195.0905446615334</v>
      </c>
      <c r="I37" s="60">
        <f t="shared" si="44"/>
        <v>4187.007903753658</v>
      </c>
      <c r="J37" s="60">
        <f t="shared" si="44"/>
        <v>4178.8466479533627</v>
      </c>
      <c r="K37" s="60">
        <f t="shared" si="44"/>
        <v>4170.6060003322718</v>
      </c>
      <c r="L37" s="60">
        <f t="shared" si="44"/>
        <v>4162.2851762759747</v>
      </c>
      <c r="M37" s="60">
        <f t="shared" si="44"/>
        <v>4153.8833834079214</v>
      </c>
      <c r="N37" s="60">
        <f t="shared" si="44"/>
        <v>4145.3998215125539</v>
      </c>
      <c r="O37" s="60">
        <f t="shared" si="44"/>
        <v>4137.9182405379361</v>
      </c>
      <c r="P37" s="60">
        <f t="shared" si="44"/>
        <v>4130.3630272993023</v>
      </c>
      <c r="Q37" s="60">
        <f t="shared" si="44"/>
        <v>4122.7334454444235</v>
      </c>
      <c r="R37" s="60">
        <f t="shared" si="44"/>
        <v>4115.0287512575478</v>
      </c>
      <c r="S37" s="60">
        <f t="shared" si="44"/>
        <v>4107.2481935857695</v>
      </c>
      <c r="T37" s="60">
        <f t="shared" si="44"/>
        <v>4099.3910137646544</v>
      </c>
      <c r="U37" s="60">
        <f t="shared" si="44"/>
        <v>4091.4564455431214</v>
      </c>
      <c r="V37" s="60">
        <f t="shared" si="44"/>
        <v>4083.443715007581</v>
      </c>
      <c r="W37" s="60">
        <f t="shared" si="44"/>
        <v>4075.3520405053114</v>
      </c>
      <c r="AB37" s="112">
        <f t="shared" si="3"/>
        <v>760</v>
      </c>
      <c r="AF37" s="114"/>
    </row>
    <row r="38" spans="1:35" ht="14.4" x14ac:dyDescent="0.3">
      <c r="A38" s="179" t="s">
        <v>174</v>
      </c>
      <c r="B38" s="179"/>
      <c r="C38" s="135">
        <f>-M8-Q8</f>
        <v>-32500</v>
      </c>
      <c r="D38" s="60">
        <f>D36</f>
        <v>4064.6502331249994</v>
      </c>
      <c r="E38" s="60">
        <f t="shared" ref="E38:W38" si="45">E36</f>
        <v>4072.4291093702368</v>
      </c>
      <c r="F38" s="60">
        <f t="shared" si="45"/>
        <v>4080.2723951543958</v>
      </c>
      <c r="G38" s="60">
        <f t="shared" si="45"/>
        <v>4088.1806034756819</v>
      </c>
      <c r="H38" s="60">
        <f t="shared" si="45"/>
        <v>4096.1542512826754</v>
      </c>
      <c r="I38" s="60">
        <f t="shared" si="45"/>
        <v>4104.1938595032198</v>
      </c>
      <c r="J38" s="60">
        <f t="shared" si="45"/>
        <v>4112.2999530735005</v>
      </c>
      <c r="K38" s="60">
        <f t="shared" si="45"/>
        <v>4120.4730609673197</v>
      </c>
      <c r="L38" s="60">
        <f t="shared" si="45"/>
        <v>4128.7137162255676</v>
      </c>
      <c r="M38" s="60">
        <f t="shared" si="45"/>
        <v>4137.0224559858907</v>
      </c>
      <c r="N38" s="60">
        <f t="shared" si="45"/>
        <v>4145.3998215125539</v>
      </c>
      <c r="O38" s="60">
        <f t="shared" si="45"/>
        <v>4137.9182405379361</v>
      </c>
      <c r="P38" s="60">
        <f t="shared" si="45"/>
        <v>4130.3630272993023</v>
      </c>
      <c r="Q38" s="60">
        <f t="shared" si="45"/>
        <v>4122.7334454444235</v>
      </c>
      <c r="R38" s="60">
        <f t="shared" si="45"/>
        <v>4115.0287512575478</v>
      </c>
      <c r="S38" s="60">
        <f t="shared" si="45"/>
        <v>4107.2481935857695</v>
      </c>
      <c r="T38" s="60">
        <f t="shared" si="45"/>
        <v>4099.3910137646544</v>
      </c>
      <c r="U38" s="60">
        <f t="shared" si="45"/>
        <v>4091.4564455431214</v>
      </c>
      <c r="V38" s="60">
        <f t="shared" si="45"/>
        <v>4083.443715007581</v>
      </c>
      <c r="W38" s="60">
        <f t="shared" si="45"/>
        <v>4075.3520405053114</v>
      </c>
      <c r="AB38" s="112">
        <f t="shared" si="3"/>
        <v>770</v>
      </c>
      <c r="AF38" s="114"/>
    </row>
    <row r="39" spans="1:35" ht="16.95" customHeight="1" x14ac:dyDescent="0.3">
      <c r="A39" s="174" t="s">
        <v>15</v>
      </c>
      <c r="B39" s="175"/>
      <c r="C39" s="127"/>
      <c r="D39" s="60">
        <f t="shared" ref="D39:W39" si="46">D36*(1+taux_actu)^-(D20-1)</f>
        <v>4064.6502331249994</v>
      </c>
      <c r="E39" s="60">
        <f t="shared" si="46"/>
        <v>3953.814669291492</v>
      </c>
      <c r="F39" s="60">
        <f t="shared" si="46"/>
        <v>3846.0480678239192</v>
      </c>
      <c r="G39" s="60">
        <f t="shared" si="46"/>
        <v>3741.264381200137</v>
      </c>
      <c r="H39" s="60">
        <f t="shared" si="46"/>
        <v>3639.3799985294436</v>
      </c>
      <c r="I39" s="60">
        <f t="shared" si="46"/>
        <v>3540.3136760230232</v>
      </c>
      <c r="J39" s="60">
        <f t="shared" si="46"/>
        <v>3443.9864694599878</v>
      </c>
      <c r="K39" s="60">
        <f t="shared" si="46"/>
        <v>3350.3216685914931</v>
      </c>
      <c r="L39" s="60">
        <f t="shared" si="46"/>
        <v>3259.2447334270696</v>
      </c>
      <c r="M39" s="60">
        <f t="shared" si="46"/>
        <v>3170.6832323489125</v>
      </c>
      <c r="N39" s="60">
        <f t="shared" si="46"/>
        <v>3084.5667820014619</v>
      </c>
      <c r="O39" s="60">
        <f t="shared" si="46"/>
        <v>2989.3201777907202</v>
      </c>
      <c r="P39" s="60">
        <f t="shared" si="46"/>
        <v>2896.9535252406708</v>
      </c>
      <c r="Q39" s="60">
        <f t="shared" si="46"/>
        <v>2807.3808641100713</v>
      </c>
      <c r="R39" s="60">
        <f t="shared" si="46"/>
        <v>2720.5187789119227</v>
      </c>
      <c r="S39" s="60">
        <f t="shared" si="46"/>
        <v>2636.2863239766129</v>
      </c>
      <c r="T39" s="60">
        <f t="shared" si="46"/>
        <v>2554.6049507141615</v>
      </c>
      <c r="U39" s="60">
        <f t="shared" si="46"/>
        <v>2475.3984370111798</v>
      </c>
      <c r="V39" s="60">
        <f t="shared" si="46"/>
        <v>2398.5928187000536</v>
      </c>
      <c r="W39" s="60">
        <f t="shared" si="46"/>
        <v>2324.1163230396451</v>
      </c>
      <c r="AB39" s="112">
        <f t="shared" si="3"/>
        <v>780</v>
      </c>
      <c r="AF39" s="114"/>
    </row>
    <row r="40" spans="1:35" s="67" customFormat="1" ht="16.95" customHeight="1" x14ac:dyDescent="0.3">
      <c r="A40" s="176" t="s">
        <v>16</v>
      </c>
      <c r="B40" s="177"/>
      <c r="C40" s="136">
        <f>-C11+M14</f>
        <v>-50000</v>
      </c>
      <c r="D40" s="66">
        <f>D39+C40</f>
        <v>-45935.349766874999</v>
      </c>
      <c r="E40" s="66">
        <f>D40+E39</f>
        <v>-41981.53509758351</v>
      </c>
      <c r="F40" s="66">
        <f t="shared" ref="F40:V40" si="47">E40+F39</f>
        <v>-38135.487029759592</v>
      </c>
      <c r="G40" s="66">
        <f t="shared" si="47"/>
        <v>-34394.222648559458</v>
      </c>
      <c r="H40" s="66">
        <f t="shared" si="47"/>
        <v>-30754.842650030016</v>
      </c>
      <c r="I40" s="66">
        <f t="shared" si="47"/>
        <v>-27214.528974006993</v>
      </c>
      <c r="J40" s="66">
        <f t="shared" si="47"/>
        <v>-23770.542504547004</v>
      </c>
      <c r="K40" s="66">
        <f t="shared" si="47"/>
        <v>-20420.220835955512</v>
      </c>
      <c r="L40" s="66">
        <f t="shared" si="47"/>
        <v>-17160.976102528442</v>
      </c>
      <c r="M40" s="66">
        <f t="shared" si="47"/>
        <v>-13990.29287017953</v>
      </c>
      <c r="N40" s="66">
        <f t="shared" si="47"/>
        <v>-10905.726088178068</v>
      </c>
      <c r="O40" s="66">
        <f t="shared" si="47"/>
        <v>-7916.4059103873478</v>
      </c>
      <c r="P40" s="66">
        <f t="shared" si="47"/>
        <v>-5019.4523851466765</v>
      </c>
      <c r="Q40" s="66">
        <f t="shared" si="47"/>
        <v>-2212.0715210366052</v>
      </c>
      <c r="R40" s="66">
        <f t="shared" si="47"/>
        <v>508.44725787531752</v>
      </c>
      <c r="S40" s="66">
        <f t="shared" si="47"/>
        <v>3144.7335818519305</v>
      </c>
      <c r="T40" s="66">
        <f t="shared" si="47"/>
        <v>5699.338532566092</v>
      </c>
      <c r="U40" s="66">
        <f t="shared" si="47"/>
        <v>8174.7369695772722</v>
      </c>
      <c r="V40" s="66">
        <f t="shared" si="47"/>
        <v>10573.329788277326</v>
      </c>
      <c r="W40" s="66">
        <f>V40+W39</f>
        <v>12897.446111316971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95" customHeight="1" x14ac:dyDescent="0.3">
      <c r="AB41" s="112">
        <f>AB40+10</f>
        <v>800</v>
      </c>
    </row>
    <row r="42" spans="1:35" ht="14.4" x14ac:dyDescent="0.3">
      <c r="A42" s="174" t="s">
        <v>33</v>
      </c>
      <c r="B42" s="175"/>
      <c r="C42" s="127"/>
      <c r="D42" s="60">
        <f t="shared" ref="D42:W42" si="48">IF(D20&lt;4,IF(D31&lt;0,0,$I$11*D31),$I$12*D31)</f>
        <v>960.93338749999953</v>
      </c>
      <c r="E42" s="60">
        <f t="shared" si="48"/>
        <v>965.71080148238832</v>
      </c>
      <c r="F42" s="60">
        <f t="shared" si="48"/>
        <v>970.52777272499588</v>
      </c>
      <c r="G42" s="60">
        <f t="shared" si="48"/>
        <v>975.38461628680079</v>
      </c>
      <c r="H42" s="60">
        <f t="shared" si="48"/>
        <v>980.28164965291126</v>
      </c>
      <c r="I42" s="60">
        <f t="shared" si="48"/>
        <v>985.21919275231119</v>
      </c>
      <c r="J42" s="60">
        <f t="shared" si="48"/>
        <v>990.19756797571438</v>
      </c>
      <c r="K42" s="60">
        <f t="shared" si="48"/>
        <v>995.21710019354725</v>
      </c>
      <c r="L42" s="60">
        <f t="shared" si="48"/>
        <v>1000.2781167740467</v>
      </c>
      <c r="M42" s="60">
        <f t="shared" si="48"/>
        <v>1005.3809476014817</v>
      </c>
      <c r="N42" s="60">
        <f t="shared" si="48"/>
        <v>1010.525925094492</v>
      </c>
      <c r="O42" s="60">
        <f t="shared" si="48"/>
        <v>1005.9310956574776</v>
      </c>
      <c r="P42" s="60">
        <f t="shared" si="48"/>
        <v>1001.2910448033098</v>
      </c>
      <c r="Q42" s="60">
        <f t="shared" si="48"/>
        <v>996.60532029964611</v>
      </c>
      <c r="R42" s="60">
        <f t="shared" si="48"/>
        <v>991.87346539181817</v>
      </c>
      <c r="S42" s="60">
        <f t="shared" si="48"/>
        <v>987.09501875761543</v>
      </c>
      <c r="T42" s="60">
        <f t="shared" si="48"/>
        <v>982.26951446160319</v>
      </c>
      <c r="U42" s="60">
        <f t="shared" si="48"/>
        <v>977.396481908993</v>
      </c>
      <c r="V42" s="60">
        <f t="shared" si="48"/>
        <v>972.4754457990482</v>
      </c>
      <c r="W42" s="60">
        <f t="shared" si="48"/>
        <v>967.50592607802832</v>
      </c>
      <c r="AB42" s="112">
        <f>AB41+8</f>
        <v>808</v>
      </c>
      <c r="AF42" s="114"/>
    </row>
    <row r="43" spans="1:35" ht="14.4" x14ac:dyDescent="0.3">
      <c r="A43" s="174" t="s">
        <v>48</v>
      </c>
      <c r="B43" s="175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612.79598718888133</v>
      </c>
      <c r="H43" s="60">
        <f t="shared" si="49"/>
        <v>615.87260162976395</v>
      </c>
      <c r="I43" s="60">
        <f t="shared" si="49"/>
        <v>618.97466675090857</v>
      </c>
      <c r="J43" s="60">
        <f t="shared" si="49"/>
        <v>622.10238509778594</v>
      </c>
      <c r="K43" s="60">
        <f t="shared" si="49"/>
        <v>625.25596077377224</v>
      </c>
      <c r="L43" s="60">
        <f t="shared" si="49"/>
        <v>628.43559945152072</v>
      </c>
      <c r="M43" s="60">
        <f t="shared" si="49"/>
        <v>631.64150838440924</v>
      </c>
      <c r="N43" s="60">
        <f t="shared" si="49"/>
        <v>634.87389641806146</v>
      </c>
      <c r="O43" s="60">
        <f t="shared" si="49"/>
        <v>631.98714488045891</v>
      </c>
      <c r="P43" s="60">
        <f t="shared" si="49"/>
        <v>629.07198249599253</v>
      </c>
      <c r="Q43" s="60">
        <f t="shared" si="49"/>
        <v>626.12812514477764</v>
      </c>
      <c r="R43" s="60">
        <f t="shared" si="49"/>
        <v>623.15528586572941</v>
      </c>
      <c r="S43" s="60">
        <f t="shared" si="49"/>
        <v>620.15317482815408</v>
      </c>
      <c r="T43" s="60">
        <f t="shared" si="49"/>
        <v>617.12149930305077</v>
      </c>
      <c r="U43" s="60">
        <f t="shared" si="49"/>
        <v>614.05996363412839</v>
      </c>
      <c r="V43" s="60">
        <f t="shared" si="49"/>
        <v>610.96826920853255</v>
      </c>
      <c r="W43" s="60">
        <f t="shared" si="49"/>
        <v>607.84611442728328</v>
      </c>
      <c r="AB43" s="112">
        <f t="shared" si="3"/>
        <v>818</v>
      </c>
      <c r="AF43" s="114"/>
    </row>
    <row r="44" spans="1:35" ht="14.4" x14ac:dyDescent="0.3">
      <c r="A44" s="174" t="s">
        <v>49</v>
      </c>
      <c r="B44" s="175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507.39507739239377</v>
      </c>
      <c r="H44" s="60">
        <f t="shared" si="50"/>
        <v>509.94251414944461</v>
      </c>
      <c r="I44" s="60">
        <f t="shared" si="50"/>
        <v>512.51102406975235</v>
      </c>
      <c r="J44" s="60">
        <f t="shared" si="50"/>
        <v>515.10077486096679</v>
      </c>
      <c r="K44" s="60">
        <f t="shared" si="50"/>
        <v>517.71193552068348</v>
      </c>
      <c r="L44" s="60">
        <f t="shared" si="50"/>
        <v>520.34467634585917</v>
      </c>
      <c r="M44" s="60">
        <f t="shared" si="50"/>
        <v>522.99916894229091</v>
      </c>
      <c r="N44" s="60">
        <f t="shared" si="50"/>
        <v>525.67558623415493</v>
      </c>
      <c r="O44" s="60">
        <f t="shared" si="50"/>
        <v>523.28535596102006</v>
      </c>
      <c r="P44" s="60">
        <f t="shared" si="50"/>
        <v>520.87160150668183</v>
      </c>
      <c r="Q44" s="60">
        <f t="shared" si="50"/>
        <v>518.43408761987598</v>
      </c>
      <c r="R44" s="60">
        <f t="shared" si="50"/>
        <v>515.97257669682404</v>
      </c>
      <c r="S44" s="60">
        <f t="shared" si="50"/>
        <v>513.48682875771158</v>
      </c>
      <c r="T44" s="60">
        <f t="shared" si="50"/>
        <v>510.97660142292608</v>
      </c>
      <c r="U44" s="60">
        <f t="shared" si="50"/>
        <v>508.44164988905834</v>
      </c>
      <c r="V44" s="60">
        <f t="shared" si="50"/>
        <v>505.88172690466502</v>
      </c>
      <c r="W44" s="60">
        <f t="shared" si="50"/>
        <v>503.2965827457906</v>
      </c>
      <c r="AB44" s="112">
        <f t="shared" si="3"/>
        <v>828</v>
      </c>
      <c r="AF44" s="114"/>
    </row>
    <row r="45" spans="1:35" s="67" customFormat="1" ht="16.95" customHeight="1" x14ac:dyDescent="0.3">
      <c r="A45" s="176" t="s">
        <v>22</v>
      </c>
      <c r="B45" s="177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1.561215622745827E-2</v>
      </c>
      <c r="H45" s="155">
        <f t="shared" si="51"/>
        <v>1.5690538896905987E-2</v>
      </c>
      <c r="I45" s="155">
        <f t="shared" si="51"/>
        <v>1.5769569971376997E-2</v>
      </c>
      <c r="J45" s="155">
        <f t="shared" si="51"/>
        <v>1.5849254611106672E-2</v>
      </c>
      <c r="K45" s="155">
        <f t="shared" si="51"/>
        <v>1.5929598016021028E-2</v>
      </c>
      <c r="L45" s="155">
        <f t="shared" si="51"/>
        <v>1.6010605426026437E-2</v>
      </c>
      <c r="M45" s="155">
        <f t="shared" si="51"/>
        <v>1.6092282121301257E-2</v>
      </c>
      <c r="N45" s="155">
        <f t="shared" si="51"/>
        <v>1.6174633422589381E-2</v>
      </c>
      <c r="O45" s="155">
        <f t="shared" si="51"/>
        <v>1.6101087875723695E-2</v>
      </c>
      <c r="P45" s="155">
        <f t="shared" si="51"/>
        <v>1.6026818507897903E-2</v>
      </c>
      <c r="Q45" s="155">
        <f t="shared" si="51"/>
        <v>1.5951818080611569E-2</v>
      </c>
      <c r="R45" s="155">
        <f t="shared" si="51"/>
        <v>1.58760792829792E-2</v>
      </c>
      <c r="S45" s="155">
        <f t="shared" si="51"/>
        <v>1.5799594731006509E-2</v>
      </c>
      <c r="T45" s="155">
        <f t="shared" si="51"/>
        <v>1.5722356966859263E-2</v>
      </c>
      <c r="U45" s="155">
        <f t="shared" si="51"/>
        <v>1.5644358458124872E-2</v>
      </c>
      <c r="V45" s="155">
        <f t="shared" si="51"/>
        <v>1.5565591597066615E-2</v>
      </c>
      <c r="W45" s="155">
        <f t="shared" si="51"/>
        <v>1.548604869987048E-2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95" customHeight="1" x14ac:dyDescent="0.3">
      <c r="AB46" s="112">
        <v>842</v>
      </c>
    </row>
    <row r="47" spans="1:35" ht="16.95" customHeight="1" x14ac:dyDescent="0.3">
      <c r="A47" s="186" t="s">
        <v>35</v>
      </c>
      <c r="B47" s="187"/>
      <c r="C47" s="130"/>
      <c r="D47" s="71">
        <f t="shared" ref="D47:W47" si="52">IF(D20&lt;=$M$13,D25/-PMT($M$12,$M$13,$M$11),"")</f>
        <v>2.2923317313466502</v>
      </c>
      <c r="E47" s="71">
        <f t="shared" si="52"/>
        <v>2.2884984032859346</v>
      </c>
      <c r="F47" s="71">
        <f t="shared" si="52"/>
        <v>2.2846274108607467</v>
      </c>
      <c r="G47" s="71">
        <f t="shared" si="52"/>
        <v>2.2807183774107185</v>
      </c>
      <c r="H47" s="71">
        <f t="shared" si="52"/>
        <v>2.2767709225088781</v>
      </c>
      <c r="I47" s="71">
        <f t="shared" si="52"/>
        <v>2.2727846619239869</v>
      </c>
      <c r="J47" s="71">
        <f t="shared" si="52"/>
        <v>2.2687592075824918</v>
      </c>
      <c r="K47" s="71">
        <f t="shared" si="52"/>
        <v>2.2646941675301053</v>
      </c>
      <c r="L47" s="71">
        <f t="shared" si="52"/>
        <v>2.2605891458929985</v>
      </c>
      <c r="M47" s="71">
        <f t="shared" si="52"/>
        <v>2.2564437428386039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852</v>
      </c>
    </row>
    <row r="48" spans="1:35" ht="16.95" customHeight="1" x14ac:dyDescent="0.3">
      <c r="AB48" s="112">
        <f t="shared" ref="AB48:AB60" si="53">AB47+10</f>
        <v>862</v>
      </c>
    </row>
    <row r="49" spans="1:35" ht="16.95" customHeight="1" x14ac:dyDescent="0.3">
      <c r="A49" s="173" t="s">
        <v>17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AB49" s="112">
        <f t="shared" si="53"/>
        <v>872</v>
      </c>
    </row>
    <row r="50" spans="1:35" ht="16.95" customHeight="1" x14ac:dyDescent="0.3">
      <c r="AB50" s="112">
        <f t="shared" si="53"/>
        <v>882</v>
      </c>
    </row>
    <row r="51" spans="1:35" ht="16.95" customHeight="1" x14ac:dyDescent="0.3">
      <c r="A51" s="185" t="s">
        <v>18</v>
      </c>
      <c r="B51" s="185"/>
      <c r="C51" s="60">
        <f>W40</f>
        <v>12897.446111316971</v>
      </c>
      <c r="D51" s="88" t="str">
        <f>IF(C51&gt;0,"OK","PB")</f>
        <v>OK</v>
      </c>
      <c r="F51" s="73"/>
      <c r="AB51" s="112">
        <f t="shared" si="53"/>
        <v>892</v>
      </c>
    </row>
    <row r="52" spans="1:35" ht="16.95" customHeight="1" x14ac:dyDescent="0.3">
      <c r="A52" s="185" t="s">
        <v>40</v>
      </c>
      <c r="B52" s="185"/>
      <c r="C52" s="60">
        <f>SUM(D42:W42)</f>
        <v>19722.100391196229</v>
      </c>
      <c r="AB52" s="112">
        <f t="shared" si="53"/>
        <v>902</v>
      </c>
    </row>
    <row r="53" spans="1:35" ht="14.4" x14ac:dyDescent="0.3">
      <c r="A53" s="185" t="s">
        <v>19</v>
      </c>
      <c r="B53" s="185"/>
      <c r="C53" s="74">
        <f>IRR(C37:W37)</f>
        <v>5.4441494586399797E-2</v>
      </c>
      <c r="D53" s="134" t="str">
        <f>IF(C53&gt;M12,"OK","PB")</f>
        <v>OK</v>
      </c>
      <c r="AB53" s="112">
        <f t="shared" si="53"/>
        <v>912</v>
      </c>
    </row>
    <row r="54" spans="1:35" ht="29.4" customHeight="1" x14ac:dyDescent="0.3">
      <c r="A54" s="185" t="s">
        <v>20</v>
      </c>
      <c r="B54" s="185"/>
      <c r="C54" s="75">
        <f>AVERAGE(D34:W34)/M8</f>
        <v>4.9404191280956439E-2</v>
      </c>
      <c r="AB54" s="112">
        <f t="shared" si="53"/>
        <v>922</v>
      </c>
    </row>
    <row r="55" spans="1:35" ht="26.4" customHeight="1" x14ac:dyDescent="0.3">
      <c r="A55" s="185" t="s">
        <v>41</v>
      </c>
      <c r="B55" s="185"/>
      <c r="C55" s="75">
        <f>AVERAGE(D45:W45)</f>
        <v>1.3465119644646306E-2</v>
      </c>
      <c r="AB55" s="112">
        <f t="shared" si="53"/>
        <v>932</v>
      </c>
    </row>
    <row r="56" spans="1:35" ht="16.95" customHeight="1" x14ac:dyDescent="0.3">
      <c r="AB56" s="112">
        <f t="shared" si="53"/>
        <v>942</v>
      </c>
    </row>
    <row r="57" spans="1:35" ht="16.95" customHeight="1" x14ac:dyDescent="0.3">
      <c r="A57" s="76" t="s">
        <v>104</v>
      </c>
      <c r="B57" s="89">
        <f>C11/(C9*1000)</f>
        <v>1.3888888888888888</v>
      </c>
      <c r="AB57" s="112">
        <f t="shared" si="53"/>
        <v>952</v>
      </c>
    </row>
    <row r="58" spans="1:35" ht="16.95" customHeight="1" x14ac:dyDescent="0.3">
      <c r="D58" s="77"/>
      <c r="AB58" s="112">
        <f t="shared" si="53"/>
        <v>962</v>
      </c>
    </row>
    <row r="59" spans="1:35" s="78" customFormat="1" ht="16.95" customHeight="1" x14ac:dyDescent="0.3">
      <c r="AA59" s="119"/>
      <c r="AB59" s="112">
        <f t="shared" si="53"/>
        <v>972</v>
      </c>
      <c r="AC59" s="119"/>
      <c r="AD59" s="119"/>
      <c r="AE59" s="119"/>
      <c r="AF59" s="119"/>
      <c r="AG59" s="119"/>
      <c r="AH59" s="119"/>
      <c r="AI59" s="119"/>
    </row>
    <row r="60" spans="1:35" ht="16.95" customHeight="1" x14ac:dyDescent="0.3">
      <c r="AB60" s="112">
        <f t="shared" si="53"/>
        <v>982</v>
      </c>
    </row>
    <row r="61" spans="1:35" ht="16.95" customHeight="1" x14ac:dyDescent="0.3">
      <c r="AB61" s="112">
        <v>2440</v>
      </c>
    </row>
    <row r="62" spans="1:35" ht="16.95" customHeight="1" x14ac:dyDescent="0.3">
      <c r="AB62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88" t="s">
        <v>66</v>
      </c>
      <c r="B1" s="189"/>
      <c r="C1" s="189"/>
      <c r="D1" s="189"/>
      <c r="E1" s="189"/>
      <c r="F1" s="189"/>
      <c r="G1" s="189"/>
      <c r="H1" s="189"/>
      <c r="I1" s="102"/>
    </row>
    <row r="2" spans="1:27" x14ac:dyDescent="0.3">
      <c r="A2" s="121" t="s">
        <v>169</v>
      </c>
    </row>
    <row r="3" spans="1:27" s="100" customFormat="1" ht="33" x14ac:dyDescent="0.3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90" t="s">
        <v>166</v>
      </c>
      <c r="K6" s="123"/>
      <c r="N6" s="151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90"/>
      <c r="K7" s="123"/>
      <c r="N7" s="151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91" t="s">
        <v>152</v>
      </c>
      <c r="K10" s="124"/>
      <c r="N10" s="151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92"/>
      <c r="K11" s="124"/>
      <c r="N11" s="151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" x14ac:dyDescent="0.35">
      <c r="A39" s="139"/>
      <c r="B39" s="140"/>
      <c r="C39" s="137">
        <f>SUMPRODUCT(C4:C38,$N$4:$N$38)</f>
        <v>200</v>
      </c>
      <c r="D39" s="137">
        <f t="shared" ref="D39:E39" si="8">SUMPRODUCT(D4:D38,$N$4:$N$38)</f>
        <v>36</v>
      </c>
      <c r="E39" s="137">
        <f t="shared" si="8"/>
        <v>44900</v>
      </c>
      <c r="G39" s="138"/>
      <c r="H39" s="137">
        <f>SUMPRODUCT(H4:H38,$N$4:$N$38)</f>
        <v>5096.1499999999996</v>
      </c>
      <c r="N39" s="100"/>
    </row>
    <row r="40" spans="1:14" customFormat="1" ht="6.75" customHeight="1" x14ac:dyDescent="0.3">
      <c r="F40" s="10"/>
      <c r="K40" s="12"/>
    </row>
    <row r="41" spans="1:14" x14ac:dyDescent="0.3">
      <c r="B41"/>
      <c r="N41" s="100"/>
    </row>
    <row r="42" spans="1:14" x14ac:dyDescent="0.3">
      <c r="B42"/>
      <c r="C42" s="2"/>
      <c r="D42" s="12"/>
      <c r="E42" s="12"/>
      <c r="F42" s="12"/>
      <c r="G42" s="12"/>
      <c r="H42" s="12"/>
      <c r="N42" s="100"/>
    </row>
    <row r="43" spans="1:14" x14ac:dyDescent="0.3">
      <c r="B43"/>
      <c r="D43" s="12"/>
      <c r="E43" s="12"/>
      <c r="F43" s="12"/>
      <c r="G43" s="12"/>
      <c r="H43" s="12"/>
      <c r="N43" s="100"/>
    </row>
    <row r="44" spans="1:14" x14ac:dyDescent="0.3">
      <c r="N44" s="100"/>
    </row>
    <row r="45" spans="1:14" x14ac:dyDescent="0.3">
      <c r="N45" s="100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31" zoomScale="70" zoomScaleNormal="70" workbookViewId="0">
      <selection activeCell="L5" sqref="L5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93" t="s">
        <v>102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P1" s="108"/>
    </row>
    <row r="3" spans="1:29" s="18" customFormat="1" ht="32.25" customHeight="1" x14ac:dyDescent="0.3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1400</v>
      </c>
      <c r="E4" s="34"/>
      <c r="F4" s="34"/>
      <c r="G4" s="34"/>
      <c r="H4" s="34"/>
      <c r="I4" s="34"/>
      <c r="J4" s="34"/>
      <c r="K4" s="34">
        <v>1000</v>
      </c>
      <c r="L4" s="34">
        <v>11600</v>
      </c>
      <c r="M4" s="28">
        <f>SUM(C4:L4)</f>
        <v>50000</v>
      </c>
      <c r="N4" s="26"/>
      <c r="O4" s="93" t="s">
        <v>101</v>
      </c>
      <c r="P4" s="90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8.600000000000001" thickBot="1" x14ac:dyDescent="0.4">
      <c r="A39" s="194" t="s">
        <v>167</v>
      </c>
      <c r="B39" s="195"/>
      <c r="C39" s="143">
        <f>SUMPRODUCT(C4:C38,ENCAISSEMENTS!$N$4:$N$38)</f>
        <v>36000</v>
      </c>
      <c r="D39" s="143">
        <f>SUMPRODUCT(D4:D38,ENCAISSEMENTS!$N$4:$N$38)</f>
        <v>1400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1000</v>
      </c>
      <c r="L39" s="143">
        <f>SUMPRODUCT(L4:L38,ENCAISSEMENTS!$N$4:$N$38)</f>
        <v>11600</v>
      </c>
      <c r="M39" s="145">
        <f>SUM(C39:L39)</f>
        <v>50000</v>
      </c>
    </row>
    <row r="42" spans="1:22" ht="25.8" x14ac:dyDescent="0.5">
      <c r="B42" s="193" t="s">
        <v>103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O42" s="142" t="s">
        <v>106</v>
      </c>
      <c r="P42" s="109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250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10">
        <f>SUM(D45:J45)</f>
        <v>712</v>
      </c>
      <c r="O45" s="96"/>
      <c r="P45" s="92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8.600000000000001" thickBot="1" x14ac:dyDescent="0.4">
      <c r="A80" s="194" t="s">
        <v>167</v>
      </c>
      <c r="B80" s="195"/>
      <c r="C80" s="143">
        <f>SUMPRODUCT(C45:C79,ENCAISSEMENTS!$N$4:$N$38)</f>
        <v>200</v>
      </c>
      <c r="D80" s="143">
        <f>SUMPRODUCT(D45:D79,ENCAISSEMENTS!$N$4:$N$38)</f>
        <v>250</v>
      </c>
      <c r="E80" s="143">
        <f>SUMPRODUCT(E45:E79,ENCAISSEMENTS!$N$4:$N$38)</f>
        <v>220</v>
      </c>
      <c r="F80" s="143">
        <f>SUMPRODUCT(F45:F79,ENCAISSEMENTS!$N$4:$N$38)</f>
        <v>200</v>
      </c>
      <c r="G80" s="143">
        <f>SUMPRODUCT(G45:G79,ENCAISSEMENTS!$N$4:$N$38)</f>
        <v>42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712</v>
      </c>
      <c r="R80" s="12"/>
    </row>
    <row r="81" spans="2:17" x14ac:dyDescent="0.3">
      <c r="Q81" s="94"/>
    </row>
    <row r="82" spans="2:17" ht="25.8" x14ac:dyDescent="0.5">
      <c r="B82" s="193" t="s">
        <v>186</v>
      </c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3" sqref="B3"/>
    </sheetView>
  </sheetViews>
  <sheetFormatPr baseColWidth="10" defaultRowHeight="14.4" x14ac:dyDescent="0.3"/>
  <cols>
    <col min="1" max="1" width="21.6640625" customWidth="1"/>
    <col min="3" max="3" width="5.21875" customWidth="1"/>
    <col min="4" max="4" width="16" customWidth="1"/>
  </cols>
  <sheetData>
    <row r="1" spans="1:4" x14ac:dyDescent="0.3">
      <c r="A1" s="157" t="s">
        <v>206</v>
      </c>
      <c r="B1" s="162">
        <f>SIG!C11</f>
        <v>50000</v>
      </c>
      <c r="C1" s="164"/>
      <c r="D1" s="166"/>
    </row>
    <row r="2" spans="1:4" ht="28.8" x14ac:dyDescent="0.3">
      <c r="A2" s="158" t="s">
        <v>210</v>
      </c>
      <c r="B2" s="159">
        <f>B1*C2</f>
        <v>5045.1884999999993</v>
      </c>
      <c r="C2" s="165">
        <f>SIG!D21/SIG!C11</f>
        <v>0.10090376999999999</v>
      </c>
      <c r="D2" s="166" t="s">
        <v>211</v>
      </c>
    </row>
    <row r="3" spans="1:4" x14ac:dyDescent="0.3">
      <c r="A3" s="157" t="s">
        <v>209</v>
      </c>
      <c r="B3" s="160">
        <f>B2*C3</f>
        <v>980.53826687499986</v>
      </c>
      <c r="C3" s="165">
        <f>(SIG!D22+SIG!D33+SIG!D29)/SIG!D21</f>
        <v>0.1943511658434566</v>
      </c>
      <c r="D3" s="166" t="s">
        <v>212</v>
      </c>
    </row>
    <row r="4" spans="1:4" x14ac:dyDescent="0.3">
      <c r="A4" s="157" t="s">
        <v>208</v>
      </c>
      <c r="B4" s="163">
        <f>B2-B3</f>
        <v>4064.6502331249994</v>
      </c>
      <c r="C4" s="164"/>
      <c r="D4" s="166"/>
    </row>
    <row r="5" spans="1:4" ht="28.8" x14ac:dyDescent="0.3">
      <c r="A5" s="158" t="s">
        <v>207</v>
      </c>
      <c r="B5" s="161">
        <f>B1/B4</f>
        <v>12.301181438078823</v>
      </c>
      <c r="C5" s="164"/>
      <c r="D5" s="16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Feuil1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2020-11-06T13:17:15Z</dcterms:modified>
</cp:coreProperties>
</file>