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Projets\Phase prospection\Pechbusque\pre etude pechbusque\"/>
    </mc:Choice>
  </mc:AlternateContent>
  <bookViews>
    <workbookView xWindow="0" yWindow="0" windowWidth="23040" windowHeight="8130" tabRatio="731"/>
  </bookViews>
  <sheets>
    <sheet name="SIG" sheetId="1" r:id="rId1"/>
    <sheet name="ENCAISSEMENTS" sheetId="3" r:id="rId2"/>
    <sheet name="DECAISSEMENTS" sheetId="4" r:id="rId3"/>
    <sheet name="Assurance" sheetId="5" r:id="rId4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SIG!$A$1:$W$46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5" i="4" l="1"/>
  <c r="J19" i="3" l="1"/>
  <c r="G6" i="5"/>
  <c r="C6" i="5"/>
  <c r="D6" i="5" s="1"/>
  <c r="M24" i="5"/>
  <c r="L24" i="5"/>
  <c r="K24" i="5"/>
  <c r="J24" i="5"/>
  <c r="H24" i="5"/>
  <c r="I24" i="5" s="1"/>
  <c r="M23" i="5"/>
  <c r="L23" i="5"/>
  <c r="K23" i="5"/>
  <c r="J23" i="5"/>
  <c r="H23" i="5"/>
  <c r="I23" i="5" s="1"/>
  <c r="N23" i="5" s="1"/>
  <c r="M22" i="5"/>
  <c r="L22" i="5"/>
  <c r="K22" i="5"/>
  <c r="J22" i="5"/>
  <c r="H22" i="5"/>
  <c r="I22" i="5" s="1"/>
  <c r="N22" i="5" s="1"/>
  <c r="M21" i="5"/>
  <c r="L21" i="5"/>
  <c r="K21" i="5"/>
  <c r="J21" i="5"/>
  <c r="H21" i="5"/>
  <c r="I21" i="5" s="1"/>
  <c r="N21" i="5" s="1"/>
  <c r="M20" i="5"/>
  <c r="L20" i="5"/>
  <c r="K20" i="5"/>
  <c r="J20" i="5"/>
  <c r="H20" i="5"/>
  <c r="I20" i="5" s="1"/>
  <c r="M19" i="5"/>
  <c r="L19" i="5"/>
  <c r="K19" i="5"/>
  <c r="J19" i="5"/>
  <c r="H19" i="5"/>
  <c r="I19" i="5" s="1"/>
  <c r="N19" i="5" s="1"/>
  <c r="M18" i="5"/>
  <c r="L18" i="5"/>
  <c r="K18" i="5"/>
  <c r="J18" i="5"/>
  <c r="H18" i="5"/>
  <c r="I18" i="5" s="1"/>
  <c r="M17" i="5"/>
  <c r="L17" i="5"/>
  <c r="K17" i="5"/>
  <c r="J17" i="5"/>
  <c r="H17" i="5"/>
  <c r="I17" i="5" s="1"/>
  <c r="M16" i="5"/>
  <c r="L16" i="5"/>
  <c r="K16" i="5"/>
  <c r="J16" i="5"/>
  <c r="H16" i="5"/>
  <c r="I16" i="5" s="1"/>
  <c r="M15" i="5"/>
  <c r="L15" i="5"/>
  <c r="K15" i="5"/>
  <c r="J15" i="5"/>
  <c r="H15" i="5"/>
  <c r="I15" i="5" s="1"/>
  <c r="M14" i="5"/>
  <c r="L14" i="5"/>
  <c r="K14" i="5"/>
  <c r="J14" i="5"/>
  <c r="H14" i="5"/>
  <c r="I14" i="5" s="1"/>
  <c r="M13" i="5"/>
  <c r="L13" i="5"/>
  <c r="K13" i="5"/>
  <c r="J13" i="5"/>
  <c r="H13" i="5"/>
  <c r="I13" i="5" s="1"/>
  <c r="M12" i="5"/>
  <c r="L12" i="5"/>
  <c r="K12" i="5"/>
  <c r="J12" i="5"/>
  <c r="H12" i="5"/>
  <c r="I12" i="5" s="1"/>
  <c r="M11" i="5"/>
  <c r="L11" i="5"/>
  <c r="K11" i="5"/>
  <c r="J11" i="5"/>
  <c r="H11" i="5"/>
  <c r="I11" i="5" s="1"/>
  <c r="N11" i="5" s="1"/>
  <c r="M10" i="5"/>
  <c r="L10" i="5"/>
  <c r="K10" i="5"/>
  <c r="J10" i="5"/>
  <c r="H10" i="5"/>
  <c r="I10" i="5" s="1"/>
  <c r="M9" i="5"/>
  <c r="L9" i="5"/>
  <c r="K9" i="5"/>
  <c r="J9" i="5"/>
  <c r="H9" i="5"/>
  <c r="I9" i="5" s="1"/>
  <c r="M8" i="5"/>
  <c r="L8" i="5"/>
  <c r="K8" i="5"/>
  <c r="J8" i="5"/>
  <c r="H8" i="5"/>
  <c r="I8" i="5" s="1"/>
  <c r="M7" i="5"/>
  <c r="L7" i="5"/>
  <c r="K7" i="5"/>
  <c r="J7" i="5"/>
  <c r="H7" i="5"/>
  <c r="I7" i="5" s="1"/>
  <c r="G5" i="5"/>
  <c r="I4" i="5"/>
  <c r="H4" i="5"/>
  <c r="N9" i="5" l="1"/>
  <c r="N17" i="5"/>
  <c r="N14" i="5"/>
  <c r="N16" i="5"/>
  <c r="N8" i="5"/>
  <c r="N13" i="5"/>
  <c r="N10" i="5"/>
  <c r="N18" i="5"/>
  <c r="N7" i="5"/>
  <c r="N15" i="5"/>
  <c r="N12" i="5"/>
  <c r="N20" i="5"/>
  <c r="M4" i="4" l="1"/>
  <c r="E6" i="5" s="1"/>
  <c r="J6" i="5" l="1"/>
  <c r="K6" i="5"/>
  <c r="E5" i="5"/>
  <c r="J5" i="5" s="1"/>
  <c r="AB11" i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K5" i="5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D24" i="1"/>
  <c r="H19" i="3"/>
  <c r="H18" i="3"/>
  <c r="H17" i="3"/>
  <c r="H16" i="3"/>
  <c r="H15" i="3"/>
  <c r="H14" i="3"/>
  <c r="H13" i="3"/>
  <c r="C80" i="4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F6" i="5" s="1"/>
  <c r="H6" i="5" l="1"/>
  <c r="L6" i="5"/>
  <c r="L5" i="5" s="1"/>
  <c r="F5" i="5"/>
  <c r="M6" i="5"/>
  <c r="M5" i="5" s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I6" i="5" l="1"/>
  <c r="H5" i="5"/>
  <c r="AD7" i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I5" i="5" l="1"/>
  <c r="N6" i="5"/>
  <c r="E45" i="4" s="1"/>
  <c r="E80" i="4" l="1"/>
  <c r="K80" i="4" s="1"/>
  <c r="K45" i="4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l="1"/>
  <c r="AB42" i="1" s="1"/>
  <c r="AB43" i="1" s="1"/>
  <c r="AB44" i="1" s="1"/>
  <c r="AB45" i="1" s="1"/>
  <c r="AB46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C13" i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6" i="1"/>
  <c r="V46" i="1"/>
  <c r="W46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4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6" i="1"/>
  <c r="S28" i="1"/>
  <c r="S31" i="1" s="1"/>
  <c r="S42" i="1" s="1"/>
  <c r="S46" i="1"/>
  <c r="M28" i="1"/>
  <c r="M46" i="1"/>
  <c r="O28" i="1"/>
  <c r="O46" i="1"/>
  <c r="F28" i="1"/>
  <c r="F46" i="1"/>
  <c r="L28" i="1"/>
  <c r="L46" i="1"/>
  <c r="J28" i="1"/>
  <c r="J46" i="1"/>
  <c r="K28" i="1"/>
  <c r="K46" i="1"/>
  <c r="N28" i="1"/>
  <c r="N46" i="1"/>
  <c r="P28" i="1"/>
  <c r="P46" i="1"/>
  <c r="E28" i="1"/>
  <c r="E46" i="1"/>
  <c r="Q28" i="1"/>
  <c r="Q46" i="1"/>
  <c r="H28" i="1"/>
  <c r="H46" i="1"/>
  <c r="I28" i="1"/>
  <c r="I46" i="1"/>
  <c r="G28" i="1"/>
  <c r="G46" i="1"/>
  <c r="R28" i="1"/>
  <c r="R46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6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2" i="1"/>
  <c r="W43" i="1"/>
  <c r="V44" i="1"/>
  <c r="V45" i="1" s="1"/>
  <c r="C50" i="1"/>
  <c r="W36" i="1"/>
  <c r="W37" i="1" l="1"/>
  <c r="C51" i="1" s="1"/>
  <c r="D51" i="1" s="1"/>
  <c r="W38" i="1"/>
  <c r="V40" i="1"/>
  <c r="W39" i="1"/>
  <c r="W44" i="1"/>
  <c r="W45" i="1" s="1"/>
  <c r="C53" i="1" s="1"/>
  <c r="W40" i="1" l="1"/>
  <c r="C49" i="1" s="1"/>
  <c r="D49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EBU</author>
  </authors>
  <commentList>
    <comment ref="E1" authorId="0" shapeId="0">
      <text>
        <r>
          <rPr>
            <sz val="11"/>
            <color rgb="FF000000"/>
            <rFont val="Calibri"/>
            <family val="2"/>
            <charset val="1"/>
          </rPr>
          <t>Facture de l’installateur, fourniture et pose de la centrale PV. Hors études, raccordements, etc.</t>
        </r>
      </text>
    </comment>
  </commentList>
</comments>
</file>

<file path=xl/sharedStrings.xml><?xml version="1.0" encoding="utf-8"?>
<sst xmlns="http://schemas.openxmlformats.org/spreadsheetml/2006/main" count="277" uniqueCount="230">
  <si>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</si>
  <si>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</si>
  <si>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</si>
  <si>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</si>
  <si>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</si>
  <si>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</si>
  <si>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</si>
  <si>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</si>
  <si>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</si>
  <si>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</si>
  <si>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</si>
  <si>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</si>
  <si>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</si>
  <si>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</si>
  <si>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</si>
  <si>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</si>
  <si>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</si>
  <si>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</si>
  <si>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</si>
  <si>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</si>
  <si>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</si>
  <si>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</si>
  <si>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</si>
  <si>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</si>
  <si>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</si>
  <si>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</si>
  <si>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</si>
  <si>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</si>
  <si>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</si>
  <si>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</si>
  <si>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</si>
  <si>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</si>
  <si>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</si>
  <si>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</si>
  <si>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</si>
  <si>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</si>
  <si>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</si>
  <si>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</si>
  <si>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</si>
  <si>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</si>
  <si>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</si>
  <si>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</si>
  <si>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</si>
  <si>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</si>
  <si>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</si>
  <si>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</si>
  <si>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</si>
  <si>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</si>
  <si>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</si>
  <si>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</si>
  <si>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</si>
  <si>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</si>
  <si>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</si>
  <si>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</si>
  <si>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</si>
  <si>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</si>
  <si>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</si>
  <si>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</si>
  <si>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</si>
  <si>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</si>
  <si>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</si>
  <si>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</si>
  <si>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</si>
  <si>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</si>
  <si>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</si>
  <si>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</si>
  <si>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</si>
  <si>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</si>
  <si>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</si>
  <si>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</si>
  <si>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</si>
  <si>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</si>
  <si>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</si>
  <si>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</si>
  <si>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</si>
  <si>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</si>
  <si>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</si>
  <si>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</si>
  <si>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</si>
  <si>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</si>
  <si>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</si>
  <si>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</si>
  <si>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</si>
  <si>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</si>
  <si>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</si>
  <si>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</si>
  <si>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</si>
  <si>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</si>
  <si>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</si>
  <si>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</si>
  <si>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</si>
  <si>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</si>
  <si>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</si>
  <si>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</si>
  <si>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</si>
  <si>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</si>
  <si>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</si>
  <si>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</si>
  <si>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</si>
  <si>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</si>
  <si>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</si>
  <si>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</si>
  <si>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</si>
  <si>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</si>
  <si>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</si>
  <si>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</si>
  <si>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</si>
  <si>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</si>
  <si>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</si>
  <si>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</si>
  <si>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</si>
  <si>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</si>
  <si>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</si>
  <si>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</si>
  <si>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</si>
  <si>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</si>
  <si>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</si>
  <si>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</si>
  <si>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</si>
  <si>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</si>
  <si>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</si>
  <si>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</si>
  <si>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</si>
  <si>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</si>
  <si>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</si>
  <si>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</si>
  <si>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</si>
  <si>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</si>
  <si>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</si>
  <si>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</si>
  <si>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</si>
  <si>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</si>
  <si>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</si>
  <si>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</si>
  <si>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</si>
  <si>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</si>
  <si>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</si>
  <si>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</si>
  <si>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</si>
  <si>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</si>
  <si>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</si>
  <si>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</si>
  <si>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</si>
  <si>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</si>
  <si>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</si>
  <si>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</si>
  <si>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</si>
  <si>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</si>
  <si>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</si>
  <si>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</si>
  <si>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</si>
  <si>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</si>
  <si>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</si>
  <si>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</si>
  <si>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</si>
  <si>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</si>
  <si>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</si>
  <si>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</si>
  <si>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</si>
  <si>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</si>
  <si>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</si>
  <si>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</si>
  <si>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</si>
  <si>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</si>
  <si>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</si>
  <si>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</si>
  <si>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</si>
  <si>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</si>
  <si>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</si>
  <si>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</si>
  <si>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</si>
  <si>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</si>
  <si>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</si>
  <si>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</si>
  <si>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</si>
  <si>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</si>
  <si>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</si>
  <si>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</si>
  <si>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</si>
  <si>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</si>
  <si>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</si>
  <si>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</si>
  <si>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</si>
  <si>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</si>
  <si>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</si>
  <si>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</si>
  <si>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</si>
  <si>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</si>
  <si>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</si>
  <si>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</si>
  <si>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</si>
  <si>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</si>
  <si>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</si>
  <si>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</si>
  <si>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</si>
  <si>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</si>
  <si>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</si>
  <si>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</si>
  <si>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</si>
  <si>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</si>
  <si>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</si>
  <si>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</si>
  <si>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</si>
  <si>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</si>
  <si>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</si>
  <si>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</si>
  <si>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>INSTALLATION PV LOCALISATION</t>
  </si>
  <si>
    <t>JE SOUSCRIS</t>
  </si>
  <si>
    <t>Date début chantier</t>
  </si>
  <si>
    <t>Date fin chantier</t>
  </si>
  <si>
    <t>Valeur  installation PV
(en €HT)</t>
  </si>
  <si>
    <t>Production annuelle
(Chiffre d’affaire en €HT)</t>
  </si>
  <si>
    <t>Puissance installation (kWc)</t>
  </si>
  <si>
    <t>Cotisation RC exploitation</t>
  </si>
  <si>
    <t>Cotisation Dommages PV</t>
  </si>
  <si>
    <t>Cotisation Pertes Exploitation</t>
  </si>
  <si>
    <t>somme</t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</si>
  <si>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1,5 %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</si>
  <si>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1,64 % du Chiffre d’aff.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</si>
  <si>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0,323 % Valeur Instal.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</si>
  <si>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0,363 % Valeur Instal.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</si>
  <si>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0,414 %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</si>
  <si>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0,465 % du Chiffre d’aff.</t>
    </r>
  </si>
  <si>
    <t xml:space="preserve">Assurance IA et DB des dirigeants et bénévoles des structures EP formule A 901      =&gt;   </t>
  </si>
  <si>
    <t>Oui</t>
  </si>
  <si>
    <t>Ville</t>
  </si>
  <si>
    <t>Nom Projet</t>
  </si>
  <si>
    <t>Totaux →</t>
  </si>
  <si>
    <t>Production pour 36 kWC</t>
  </si>
  <si>
    <t>production pour 33 kWc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</si>
</sst>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0" formatCode="#,##0.00\ [$€];[Red]\-#,##0.00\ [$€]"/>
    <numFmt numFmtId="171" formatCode="0&quot; kWc&quot;"/>
    <numFmt numFmtId="172" formatCode="#,##0.00&quot; €&quot;"/>
    <numFmt numFmtId="173" formatCode="#,##0.0000000"/>
    <numFmt numFmtId="174" formatCode="#,##0_ ;[Red]\-#,##0\ "/>
    <numFmt numFmtId="175" formatCode="_-* #,##0_-;\-* #,##0_-;_-* \-??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2"/>
      <color rgb="FFFFFFFF"/>
      <name val="Calibri"/>
      <family val="2"/>
      <charset val="1"/>
    </font>
    <font>
      <b/>
      <sz val="12"/>
      <color rgb="FFFFFFFF"/>
      <name val="MAIF"/>
      <family val="2"/>
      <charset val="1"/>
    </font>
    <font>
      <sz val="8"/>
      <color rgb="FFFFFFFF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40404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C0D1A"/>
        <bgColor rgb="FF993300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9D9D9"/>
        <bgColor rgb="FFEEEEEE"/>
      </patternFill>
    </fill>
    <fill>
      <patternFill patternType="solid">
        <fgColor rgb="FFEEEEEE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51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left" wrapText="1"/>
    </xf>
    <xf numFmtId="9" fontId="0" fillId="0" borderId="0" xfId="1" applyFont="1" applyBorder="1" applyAlignment="1" applyProtection="1">
      <alignment horizontal="center" wrapText="1"/>
    </xf>
    <xf numFmtId="3" fontId="44" fillId="0" borderId="0" xfId="0" applyNumberFormat="1" applyFont="1"/>
    <xf numFmtId="0" fontId="45" fillId="15" borderId="1" xfId="0" applyFont="1" applyFill="1" applyBorder="1" applyAlignment="1">
      <alignment horizontal="center"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45" fillId="15" borderId="15" xfId="0" applyFont="1" applyFill="1" applyBorder="1" applyAlignment="1">
      <alignment horizontal="center" vertical="center" wrapText="1"/>
    </xf>
    <xf numFmtId="0" fontId="45" fillId="15" borderId="16" xfId="0" applyFont="1" applyFill="1" applyBorder="1" applyAlignment="1">
      <alignment horizontal="center" vertical="center" wrapText="1"/>
    </xf>
    <xf numFmtId="0" fontId="49" fillId="16" borderId="3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50" fillId="17" borderId="2" xfId="0" applyFont="1" applyFill="1" applyBorder="1" applyAlignment="1">
      <alignment vertical="center"/>
    </xf>
    <xf numFmtId="0" fontId="50" fillId="17" borderId="1" xfId="0" applyFont="1" applyFill="1" applyBorder="1" applyAlignment="1">
      <alignment horizontal="center" vertical="center"/>
    </xf>
    <xf numFmtId="0" fontId="50" fillId="17" borderId="1" xfId="0" applyFont="1" applyFill="1" applyBorder="1" applyAlignment="1">
      <alignment horizontal="right" vertical="center"/>
    </xf>
    <xf numFmtId="170" fontId="50" fillId="17" borderId="9" xfId="19" applyNumberFormat="1" applyFont="1" applyFill="1" applyBorder="1" applyAlignment="1" applyProtection="1">
      <alignment vertical="center"/>
    </xf>
    <xf numFmtId="171" fontId="50" fillId="17" borderId="1" xfId="19" applyNumberFormat="1" applyFont="1" applyFill="1" applyBorder="1" applyAlignment="1" applyProtection="1">
      <alignment vertical="center"/>
    </xf>
    <xf numFmtId="172" fontId="50" fillId="17" borderId="2" xfId="0" applyNumberFormat="1" applyFont="1" applyFill="1" applyBorder="1" applyAlignment="1">
      <alignment vertical="center"/>
    </xf>
    <xf numFmtId="172" fontId="50" fillId="17" borderId="2" xfId="19" applyNumberFormat="1" applyFont="1" applyFill="1" applyBorder="1" applyAlignment="1" applyProtection="1">
      <alignment vertical="center"/>
    </xf>
    <xf numFmtId="172" fontId="50" fillId="17" borderId="3" xfId="19" applyNumberFormat="1" applyFont="1" applyFill="1" applyBorder="1" applyAlignment="1" applyProtection="1">
      <alignment vertical="center"/>
    </xf>
    <xf numFmtId="173" fontId="50" fillId="17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indent="1"/>
      <protection locked="0"/>
    </xf>
    <xf numFmtId="4" fontId="0" fillId="0" borderId="1" xfId="0" applyNumberFormat="1" applyBorder="1" applyAlignment="1">
      <alignment horizontal="left"/>
    </xf>
    <xf numFmtId="14" fontId="52" fillId="0" borderId="1" xfId="0" applyNumberFormat="1" applyFont="1" applyBorder="1" applyAlignment="1" applyProtection="1">
      <alignment horizontal="center"/>
      <protection locked="0"/>
    </xf>
    <xf numFmtId="14" fontId="0" fillId="0" borderId="1" xfId="0" applyNumberFormat="1" applyBorder="1" applyProtection="1">
      <protection locked="0"/>
    </xf>
    <xf numFmtId="44" fontId="0" fillId="0" borderId="1" xfId="39" applyFont="1" applyBorder="1"/>
    <xf numFmtId="43" fontId="1" fillId="0" borderId="1" xfId="19" applyBorder="1" applyProtection="1">
      <protection locked="0"/>
    </xf>
    <xf numFmtId="174" fontId="0" fillId="0" borderId="1" xfId="19" applyNumberFormat="1" applyFont="1" applyBorder="1" applyAlignment="1" applyProtection="1">
      <protection locked="0"/>
    </xf>
    <xf numFmtId="172" fontId="0" fillId="18" borderId="20" xfId="0" applyNumberFormat="1" applyFont="1" applyFill="1" applyBorder="1"/>
    <xf numFmtId="172" fontId="0" fillId="18" borderId="1" xfId="0" applyNumberFormat="1" applyFill="1" applyBorder="1"/>
    <xf numFmtId="172" fontId="0" fillId="18" borderId="1" xfId="19" applyNumberFormat="1" applyFont="1" applyFill="1" applyBorder="1" applyAlignment="1" applyProtection="1"/>
    <xf numFmtId="4" fontId="0" fillId="0" borderId="20" xfId="0" applyNumberFormat="1" applyBorder="1" applyProtection="1">
      <protection locked="0"/>
    </xf>
    <xf numFmtId="0" fontId="0" fillId="0" borderId="1" xfId="0" applyBorder="1"/>
    <xf numFmtId="14" fontId="0" fillId="0" borderId="1" xfId="0" applyNumberFormat="1" applyBorder="1" applyAlignment="1" applyProtection="1">
      <alignment horizontal="center"/>
      <protection locked="0"/>
    </xf>
    <xf numFmtId="4" fontId="0" fillId="0" borderId="1" xfId="0" applyNumberFormat="1" applyFont="1" applyBorder="1" applyAlignment="1">
      <alignment horizontal="left"/>
    </xf>
    <xf numFmtId="14" fontId="0" fillId="0" borderId="1" xfId="0" applyNumberFormat="1" applyBorder="1"/>
    <xf numFmtId="44" fontId="7" fillId="0" borderId="1" xfId="39" applyFont="1" applyBorder="1"/>
    <xf numFmtId="0" fontId="53" fillId="0" borderId="1" xfId="0" applyFont="1" applyBorder="1" applyAlignment="1">
      <alignment horizontal="left"/>
    </xf>
    <xf numFmtId="44" fontId="0" fillId="0" borderId="1" xfId="39" applyFont="1" applyBorder="1" applyAlignment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1" fontId="0" fillId="0" borderId="18" xfId="0" applyNumberFormat="1" applyBorder="1" applyAlignment="1" applyProtection="1">
      <alignment horizontal="left" indent="1"/>
      <protection locked="0"/>
    </xf>
    <xf numFmtId="0" fontId="0" fillId="0" borderId="18" xfId="0" applyBorder="1" applyAlignment="1" applyProtection="1">
      <alignment horizontal="left" indent="1"/>
      <protection locked="0"/>
    </xf>
    <xf numFmtId="14" fontId="0" fillId="0" borderId="0" xfId="0" applyNumberFormat="1"/>
    <xf numFmtId="14" fontId="0" fillId="0" borderId="21" xfId="0" applyNumberFormat="1" applyBorder="1" applyAlignment="1" applyProtection="1">
      <alignment horizontal="center"/>
      <protection locked="0"/>
    </xf>
    <xf numFmtId="44" fontId="0" fillId="0" borderId="21" xfId="39" applyFont="1" applyBorder="1" applyAlignment="1" applyProtection="1">
      <protection locked="0"/>
    </xf>
    <xf numFmtId="175" fontId="1" fillId="0" borderId="0" xfId="19" applyNumberFormat="1" applyBorder="1" applyProtection="1">
      <protection locked="0"/>
    </xf>
    <xf numFmtId="14" fontId="0" fillId="0" borderId="21" xfId="0" applyNumberFormat="1" applyBorder="1" applyProtection="1">
      <protection locked="0"/>
    </xf>
    <xf numFmtId="170" fontId="0" fillId="0" borderId="21" xfId="19" applyNumberFormat="1" applyFont="1" applyBorder="1" applyAlignment="1" applyProtection="1">
      <protection locked="0"/>
    </xf>
    <xf numFmtId="170" fontId="0" fillId="0" borderId="0" xfId="19" applyNumberFormat="1" applyFont="1" applyBorder="1" applyAlignment="1" applyProtection="1">
      <protection locked="0"/>
    </xf>
    <xf numFmtId="0" fontId="0" fillId="0" borderId="21" xfId="0" applyBorder="1" applyProtection="1">
      <protection locked="0"/>
    </xf>
    <xf numFmtId="4" fontId="0" fillId="10" borderId="1" xfId="0" applyNumberFormat="1" applyFill="1" applyBorder="1" applyAlignment="1" applyProtection="1">
      <alignment horizontal="center"/>
      <protection locked="0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" fontId="0" fillId="6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  <xf numFmtId="0" fontId="48" fillId="0" borderId="2" xfId="0" applyFont="1" applyFill="1" applyBorder="1" applyAlignment="1">
      <alignment horizontal="right" vertical="center" wrapText="1"/>
    </xf>
    <xf numFmtId="0" fontId="48" fillId="0" borderId="9" xfId="0" applyFont="1" applyFill="1" applyBorder="1" applyAlignment="1">
      <alignment horizontal="right" vertical="center" wrapText="1"/>
    </xf>
    <xf numFmtId="0" fontId="45" fillId="15" borderId="15" xfId="0" applyFont="1" applyFill="1" applyBorder="1" applyAlignment="1">
      <alignment horizontal="center" vertical="center" wrapText="1"/>
    </xf>
    <xf numFmtId="0" fontId="45" fillId="15" borderId="18" xfId="0" applyFont="1" applyFill="1" applyBorder="1" applyAlignment="1">
      <alignment horizontal="center" vertical="center" wrapText="1"/>
    </xf>
    <xf numFmtId="0" fontId="46" fillId="15" borderId="16" xfId="0" applyFont="1" applyFill="1" applyBorder="1" applyAlignment="1">
      <alignment horizontal="center" vertical="center" wrapText="1"/>
    </xf>
    <xf numFmtId="0" fontId="46" fillId="15" borderId="19" xfId="0" applyFont="1" applyFill="1" applyBorder="1" applyAlignment="1">
      <alignment horizontal="center"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45" fillId="15" borderId="21" xfId="0" applyFont="1" applyFill="1" applyBorder="1" applyAlignment="1">
      <alignment horizontal="center" vertical="center" wrapText="1"/>
    </xf>
    <xf numFmtId="0" fontId="45" fillId="15" borderId="16" xfId="0" applyFont="1" applyFill="1" applyBorder="1" applyAlignment="1">
      <alignment horizontal="center" vertical="center" wrapText="1"/>
    </xf>
    <xf numFmtId="0" fontId="45" fillId="15" borderId="19" xfId="0" applyFont="1" applyFill="1" applyBorder="1" applyAlignment="1">
      <alignment horizontal="center" vertical="center" wrapText="1"/>
    </xf>
    <xf numFmtId="0" fontId="45" fillId="15" borderId="1" xfId="0" applyFont="1" applyFill="1" applyBorder="1" applyAlignment="1">
      <alignment horizontal="center" vertical="center" wrapText="1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onétaire" xfId="39" builtinId="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4">
    <dxf>
      <font>
        <color theme="0"/>
      </font>
    </dxf>
    <dxf>
      <alignment horizontal="general" vertical="bottom" textRotation="0" wrapText="0" indent="0" shrinkToFit="0" readingOrder="1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59"/>
  <sheetViews>
    <sheetView showGridLines="0" tabSelected="1" topLeftCell="A19" zoomScale="80" zoomScaleNormal="80" workbookViewId="0">
      <selection activeCell="N11" sqref="N11"/>
    </sheetView>
  </sheetViews>
  <sheetFormatPr baseColWidth="10" defaultColWidth="11.5703125" defaultRowHeight="16.899999999999999" customHeight="1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3"/>
    <col min="28" max="32" width="11.5703125" style="113" customWidth="1"/>
    <col min="33" max="35" width="11.5703125" style="113"/>
    <col min="36" max="16384" width="11.5703125" style="41"/>
  </cols>
  <sheetData>
    <row r="1" spans="1:39" s="40" customFormat="1" ht="16.899999999999999" customHeight="1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Y1" s="41"/>
      <c r="Z1" s="41"/>
      <c r="AA1" s="113"/>
      <c r="AC1" s="114"/>
      <c r="AD1" s="115">
        <v>1</v>
      </c>
      <c r="AE1" s="113"/>
      <c r="AF1" s="113"/>
      <c r="AG1" s="113"/>
      <c r="AH1" s="113"/>
      <c r="AI1" s="113"/>
      <c r="AJ1" s="41"/>
      <c r="AK1" s="41"/>
      <c r="AL1" s="41"/>
      <c r="AM1" s="41"/>
    </row>
    <row r="2" spans="1:39" ht="16.899999999999999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3">
        <f t="shared" ref="AB2:AB10" si="0">AB3-20</f>
        <v>200</v>
      </c>
      <c r="AC2" s="113">
        <v>8</v>
      </c>
      <c r="AD2" s="115">
        <v>1.01</v>
      </c>
      <c r="AE2" s="113" t="s">
        <v>81</v>
      </c>
      <c r="AF2" s="115">
        <v>0.05</v>
      </c>
    </row>
    <row r="3" spans="1:39" ht="16.899999999999999" customHeight="1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3">
        <f t="shared" si="0"/>
        <v>220</v>
      </c>
      <c r="AC3" s="113">
        <v>9</v>
      </c>
      <c r="AD3" s="115"/>
      <c r="AE3" s="113" t="s">
        <v>80</v>
      </c>
      <c r="AF3" s="115"/>
    </row>
    <row r="4" spans="1:39" ht="16.899999999999999" customHeight="1">
      <c r="A4" s="41" t="s">
        <v>79</v>
      </c>
      <c r="B4" s="80" t="s">
        <v>81</v>
      </c>
      <c r="J4" s="49"/>
      <c r="AB4" s="113">
        <f t="shared" si="0"/>
        <v>240</v>
      </c>
      <c r="AC4" s="113">
        <v>10</v>
      </c>
      <c r="AD4" s="115"/>
      <c r="AF4" s="115"/>
    </row>
    <row r="5" spans="1:39" ht="16.899999999999999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3">
        <f t="shared" si="0"/>
        <v>260</v>
      </c>
      <c r="AC5" s="113">
        <v>11</v>
      </c>
      <c r="AD5" s="115">
        <v>1.02</v>
      </c>
      <c r="AF5" s="115">
        <f>AF2+5%</f>
        <v>0.1</v>
      </c>
    </row>
    <row r="6" spans="1:39" s="54" customFormat="1" ht="16.899999999999999" customHeight="1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217" t="s">
        <v>0</v>
      </c>
      <c r="L6" s="217"/>
      <c r="M6" s="217"/>
      <c r="N6" s="217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3"/>
      <c r="AB6" s="113">
        <f t="shared" si="0"/>
        <v>280</v>
      </c>
      <c r="AC6" s="113">
        <v>12</v>
      </c>
      <c r="AD6" s="116">
        <v>1.03</v>
      </c>
      <c r="AE6" s="113"/>
      <c r="AF6" s="115">
        <f t="shared" ref="AF6:AF14" si="1">AF5+5%</f>
        <v>0.15000000000000002</v>
      </c>
      <c r="AG6" s="113"/>
      <c r="AH6" s="113"/>
      <c r="AI6" s="113"/>
      <c r="AJ6" s="41"/>
      <c r="AK6" s="41"/>
      <c r="AL6" s="41"/>
      <c r="AM6" s="41"/>
    </row>
    <row r="7" spans="1:39" ht="16.899999999999999" customHeight="1">
      <c r="AB7" s="113">
        <f t="shared" si="0"/>
        <v>300</v>
      </c>
      <c r="AC7" s="113">
        <v>13</v>
      </c>
      <c r="AD7" s="116">
        <f>1%+AD6</f>
        <v>1.04</v>
      </c>
      <c r="AF7" s="115">
        <f t="shared" si="1"/>
        <v>0.2</v>
      </c>
    </row>
    <row r="8" spans="1:39" s="56" customFormat="1" ht="15">
      <c r="A8" s="211" t="s">
        <v>23</v>
      </c>
      <c r="B8" s="212"/>
      <c r="C8" s="55">
        <f>ENCAISSEMENTS!C39</f>
        <v>160</v>
      </c>
      <c r="F8" s="211" t="s">
        <v>42</v>
      </c>
      <c r="G8" s="213"/>
      <c r="H8" s="212"/>
      <c r="I8" s="85">
        <v>5.0000000000000001E-3</v>
      </c>
      <c r="K8" s="211" t="s">
        <v>173</v>
      </c>
      <c r="L8" s="212"/>
      <c r="M8" s="57">
        <f>M9*M10</f>
        <v>13000</v>
      </c>
      <c r="N8" s="58">
        <f>M8/C11</f>
        <v>0.296127562642369</v>
      </c>
      <c r="O8" s="211" t="s">
        <v>87</v>
      </c>
      <c r="P8" s="212"/>
      <c r="Q8" s="81"/>
      <c r="R8" s="41"/>
      <c r="S8" s="211" t="s">
        <v>192</v>
      </c>
      <c r="T8" s="213"/>
      <c r="U8" s="212"/>
      <c r="V8" s="155">
        <f>(M8+M14)/C11</f>
        <v>0.296127562642369</v>
      </c>
      <c r="W8" s="41"/>
      <c r="X8" s="41"/>
      <c r="Y8" s="41"/>
      <c r="Z8" s="41"/>
      <c r="AA8" s="113"/>
      <c r="AB8" s="113">
        <f t="shared" si="0"/>
        <v>320</v>
      </c>
      <c r="AC8" s="113">
        <v>14</v>
      </c>
      <c r="AD8" s="116">
        <f t="shared" ref="AD8:AD19" si="2">1%+AD7</f>
        <v>1.05</v>
      </c>
      <c r="AE8" s="117"/>
      <c r="AF8" s="115">
        <f t="shared" si="1"/>
        <v>0.25</v>
      </c>
      <c r="AG8" s="117"/>
      <c r="AH8" s="117"/>
      <c r="AI8" s="117"/>
    </row>
    <row r="9" spans="1:39" ht="15">
      <c r="A9" s="215" t="s">
        <v>24</v>
      </c>
      <c r="B9" s="216"/>
      <c r="C9" s="59">
        <f>ENCAISSEMENTS!D39</f>
        <v>28</v>
      </c>
      <c r="F9" s="211" t="s">
        <v>3</v>
      </c>
      <c r="G9" s="213"/>
      <c r="H9" s="212"/>
      <c r="I9" s="85">
        <v>5.0000000000000001E-3</v>
      </c>
      <c r="K9" s="215" t="s">
        <v>96</v>
      </c>
      <c r="L9" s="216"/>
      <c r="M9" s="80">
        <v>260</v>
      </c>
      <c r="O9" s="211" t="s">
        <v>168</v>
      </c>
      <c r="P9" s="212"/>
      <c r="Q9" s="82"/>
      <c r="AB9" s="113">
        <f t="shared" si="0"/>
        <v>340</v>
      </c>
      <c r="AC9" s="113">
        <v>15</v>
      </c>
      <c r="AD9" s="116">
        <f t="shared" si="2"/>
        <v>1.06</v>
      </c>
      <c r="AF9" s="115">
        <f t="shared" si="1"/>
        <v>0.3</v>
      </c>
    </row>
    <row r="10" spans="1:39" ht="15">
      <c r="A10" s="211" t="s">
        <v>26</v>
      </c>
      <c r="B10" s="212"/>
      <c r="C10" s="60">
        <f>ENCAISSEMENTS!E39</f>
        <v>34935</v>
      </c>
      <c r="F10" s="211" t="s">
        <v>4</v>
      </c>
      <c r="G10" s="213"/>
      <c r="H10" s="212"/>
      <c r="I10" s="82">
        <v>0.02</v>
      </c>
      <c r="K10" s="215" t="s">
        <v>97</v>
      </c>
      <c r="L10" s="216"/>
      <c r="M10" s="84">
        <v>50</v>
      </c>
      <c r="O10" s="211" t="s">
        <v>12</v>
      </c>
      <c r="P10" s="212"/>
      <c r="Q10" s="79"/>
      <c r="S10" s="211" t="s">
        <v>193</v>
      </c>
      <c r="T10" s="213"/>
      <c r="U10" s="212"/>
      <c r="V10" s="154">
        <f>DECAISSEMENTS!C39/(ENCAISSEMENTS!D39*1000)</f>
        <v>1.5357142857142858</v>
      </c>
      <c r="AB10" s="113">
        <f t="shared" si="0"/>
        <v>360</v>
      </c>
      <c r="AC10" s="113">
        <v>16</v>
      </c>
      <c r="AD10" s="116">
        <f t="shared" si="2"/>
        <v>1.07</v>
      </c>
      <c r="AF10" s="115">
        <f t="shared" si="1"/>
        <v>0.35</v>
      </c>
    </row>
    <row r="11" spans="1:39" ht="15">
      <c r="A11" s="132" t="s">
        <v>28</v>
      </c>
      <c r="B11" s="133"/>
      <c r="C11" s="61">
        <f>DECAISSEMENTS!M39</f>
        <v>43900</v>
      </c>
      <c r="F11" s="211" t="s">
        <v>43</v>
      </c>
      <c r="G11" s="213"/>
      <c r="H11" s="212"/>
      <c r="I11" s="86">
        <v>0.57699999999999996</v>
      </c>
      <c r="K11" s="211" t="s">
        <v>30</v>
      </c>
      <c r="L11" s="212"/>
      <c r="M11" s="57">
        <f>1.01*C11-M8-Q8-M14</f>
        <v>31339</v>
      </c>
      <c r="N11"/>
      <c r="AB11" s="113">
        <f>AB12-20</f>
        <v>380</v>
      </c>
      <c r="AD11" s="116">
        <f t="shared" si="2"/>
        <v>1.08</v>
      </c>
      <c r="AF11" s="115">
        <f t="shared" si="1"/>
        <v>0.39999999999999997</v>
      </c>
    </row>
    <row r="12" spans="1:39" ht="15">
      <c r="A12" s="132" t="s">
        <v>25</v>
      </c>
      <c r="B12" s="133"/>
      <c r="C12" s="61">
        <f>ENCAISSEMENTS!H39</f>
        <v>4342.4205000000002</v>
      </c>
      <c r="F12" s="211" t="s">
        <v>44</v>
      </c>
      <c r="G12" s="213"/>
      <c r="H12" s="212"/>
      <c r="I12" s="87">
        <v>0.57499999999999996</v>
      </c>
      <c r="K12" s="215" t="s">
        <v>45</v>
      </c>
      <c r="L12" s="216"/>
      <c r="M12" s="83">
        <v>2.5000000000000001E-2</v>
      </c>
      <c r="AB12" s="113">
        <v>400</v>
      </c>
      <c r="AD12" s="116">
        <f t="shared" si="2"/>
        <v>1.0900000000000001</v>
      </c>
      <c r="AF12" s="115">
        <f t="shared" si="1"/>
        <v>0.44999999999999996</v>
      </c>
    </row>
    <row r="13" spans="1:39" ht="15">
      <c r="A13" s="132" t="s">
        <v>29</v>
      </c>
      <c r="B13" s="133"/>
      <c r="C13" s="62">
        <f>DECAISSEMENTS!K80</f>
        <v>767.24465050000003</v>
      </c>
      <c r="F13" s="211" t="s">
        <v>14</v>
      </c>
      <c r="G13" s="213"/>
      <c r="H13" s="212"/>
      <c r="I13" s="87">
        <v>0.03</v>
      </c>
      <c r="K13" s="215" t="s">
        <v>12</v>
      </c>
      <c r="L13" s="216"/>
      <c r="M13" s="80">
        <v>10</v>
      </c>
      <c r="AB13" s="113">
        <v>450</v>
      </c>
      <c r="AD13" s="116">
        <f t="shared" si="2"/>
        <v>1.1000000000000001</v>
      </c>
      <c r="AF13" s="115">
        <f t="shared" si="1"/>
        <v>0.49999999999999994</v>
      </c>
    </row>
    <row r="14" spans="1:39" ht="15">
      <c r="A14" s="211" t="s">
        <v>38</v>
      </c>
      <c r="B14" s="212"/>
      <c r="C14" s="62">
        <f>DECAISSEMENTS!E84+DECAISSEMENTS!E85</f>
        <v>0</v>
      </c>
      <c r="F14" s="211" t="s">
        <v>34</v>
      </c>
      <c r="G14" s="213"/>
      <c r="H14" s="212"/>
      <c r="I14" s="87">
        <v>0.17199999999999999</v>
      </c>
      <c r="K14" s="215" t="s">
        <v>191</v>
      </c>
      <c r="L14" s="216"/>
      <c r="M14" s="80"/>
      <c r="AB14" s="113">
        <v>475</v>
      </c>
      <c r="AD14" s="116">
        <f t="shared" si="2"/>
        <v>1.1100000000000001</v>
      </c>
      <c r="AF14" s="115">
        <f t="shared" si="1"/>
        <v>0.54999999999999993</v>
      </c>
    </row>
    <row r="15" spans="1:39" ht="14.45" customHeight="1">
      <c r="A15" s="215" t="s">
        <v>63</v>
      </c>
      <c r="B15" s="216"/>
      <c r="C15" s="62">
        <f>DECAISSEMENTS!E86</f>
        <v>0</v>
      </c>
      <c r="F15" s="224" t="s">
        <v>46</v>
      </c>
      <c r="G15" s="225"/>
      <c r="H15" s="226"/>
      <c r="I15" s="87">
        <v>0.99</v>
      </c>
      <c r="K15"/>
      <c r="L15"/>
      <c r="M15"/>
      <c r="N15"/>
      <c r="AB15" s="113">
        <v>500</v>
      </c>
      <c r="AD15" s="116">
        <f t="shared" si="2"/>
        <v>1.1200000000000001</v>
      </c>
      <c r="AF15" s="118">
        <v>0.57499999999999996</v>
      </c>
    </row>
    <row r="16" spans="1:39" ht="14.45" customHeight="1">
      <c r="A16" s="215" t="s">
        <v>190</v>
      </c>
      <c r="B16" s="216"/>
      <c r="C16" s="62">
        <f>DECAISSEMENTS!E87</f>
        <v>0</v>
      </c>
      <c r="F16" s="63" t="s">
        <v>99</v>
      </c>
      <c r="G16" s="64"/>
      <c r="H16" s="65"/>
      <c r="I16" s="88"/>
      <c r="AB16" s="113">
        <f>AB15+50</f>
        <v>550</v>
      </c>
      <c r="AD16" s="116">
        <f t="shared" si="2"/>
        <v>1.1300000000000001</v>
      </c>
      <c r="AF16" s="115">
        <f>AF14+5%</f>
        <v>0.6</v>
      </c>
    </row>
    <row r="17" spans="1:44" ht="16.899999999999999" customHeight="1">
      <c r="AB17" s="113">
        <f>AB16+10</f>
        <v>560</v>
      </c>
      <c r="AD17" s="116">
        <f t="shared" si="2"/>
        <v>1.1400000000000001</v>
      </c>
      <c r="AF17" s="115">
        <f>AF16+5%</f>
        <v>0.65</v>
      </c>
    </row>
    <row r="18" spans="1:44" ht="16.899999999999999" customHeight="1">
      <c r="A18" s="217" t="s">
        <v>2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AB18" s="113">
        <f t="shared" ref="AB18:AB45" si="3">AB17+10</f>
        <v>570</v>
      </c>
      <c r="AD18" s="116">
        <f t="shared" si="2"/>
        <v>1.1500000000000001</v>
      </c>
      <c r="AF18" s="115">
        <f>AF17+5%</f>
        <v>0.70000000000000007</v>
      </c>
    </row>
    <row r="19" spans="1:44" ht="16.899999999999999" customHeight="1" thickBot="1">
      <c r="AB19" s="113">
        <f t="shared" si="3"/>
        <v>580</v>
      </c>
      <c r="AD19" s="116">
        <f t="shared" si="2"/>
        <v>1.1600000000000001</v>
      </c>
      <c r="AF19" s="115">
        <f>AF18+5%</f>
        <v>0.75000000000000011</v>
      </c>
    </row>
    <row r="20" spans="1:44" ht="16.899999999999999" customHeight="1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3">
        <f t="shared" si="3"/>
        <v>590</v>
      </c>
      <c r="AF20" s="115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>
      <c r="A21" s="218" t="s">
        <v>31</v>
      </c>
      <c r="B21" s="219"/>
      <c r="C21" s="128"/>
      <c r="D21" s="60">
        <f>C12*$I$15</f>
        <v>4298.9962949999999</v>
      </c>
      <c r="E21" s="60">
        <f t="shared" ref="E21:W21" si="4">$D$21*(1-perte_prod)^(E20-1)*(1+index_tarif)^(E20-1)</f>
        <v>4298.8888200926249</v>
      </c>
      <c r="F21" s="60">
        <f t="shared" si="4"/>
        <v>4298.7813478721218</v>
      </c>
      <c r="G21" s="60">
        <f t="shared" si="4"/>
        <v>4298.6738783384244</v>
      </c>
      <c r="H21" s="60">
        <f t="shared" si="4"/>
        <v>4298.5664114914653</v>
      </c>
      <c r="I21" s="60">
        <f t="shared" si="4"/>
        <v>4298.4589473311771</v>
      </c>
      <c r="J21" s="60">
        <f t="shared" si="4"/>
        <v>4298.3514858574927</v>
      </c>
      <c r="K21" s="60">
        <f t="shared" si="4"/>
        <v>4298.2440270703455</v>
      </c>
      <c r="L21" s="60">
        <f t="shared" si="4"/>
        <v>4298.1365709696684</v>
      </c>
      <c r="M21" s="60">
        <f t="shared" si="4"/>
        <v>4298.0291175553948</v>
      </c>
      <c r="N21" s="60">
        <f t="shared" si="4"/>
        <v>4297.9216668274548</v>
      </c>
      <c r="O21" s="60">
        <f t="shared" si="4"/>
        <v>4297.8142187857839</v>
      </c>
      <c r="P21" s="60">
        <f t="shared" si="4"/>
        <v>4297.7067734303128</v>
      </c>
      <c r="Q21" s="60">
        <f t="shared" si="4"/>
        <v>4297.599330760977</v>
      </c>
      <c r="R21" s="60">
        <f t="shared" si="4"/>
        <v>4297.4918907777073</v>
      </c>
      <c r="S21" s="60">
        <f t="shared" si="4"/>
        <v>4297.3844534804366</v>
      </c>
      <c r="T21" s="60">
        <f t="shared" si="4"/>
        <v>4297.2770188690993</v>
      </c>
      <c r="U21" s="60">
        <f t="shared" si="4"/>
        <v>4297.1695869436271</v>
      </c>
      <c r="V21" s="60">
        <f t="shared" si="4"/>
        <v>4297.0621577039519</v>
      </c>
      <c r="W21" s="60">
        <f t="shared" si="4"/>
        <v>4296.9547311500091</v>
      </c>
      <c r="AB21" s="113">
        <f t="shared" si="3"/>
        <v>600</v>
      </c>
      <c r="AF21" s="115">
        <f t="shared" ref="AF21:AF24" si="5">AF20+5%</f>
        <v>0.8500000000000002</v>
      </c>
    </row>
    <row r="22" spans="1:44" ht="16.899999999999999" customHeight="1">
      <c r="A22" s="218" t="s">
        <v>1</v>
      </c>
      <c r="B22" s="219"/>
      <c r="C22" s="128"/>
      <c r="D22" s="60">
        <f>C14+C13</f>
        <v>767.24465050000003</v>
      </c>
      <c r="E22" s="60">
        <f t="shared" ref="E22:M22" si="6">$C$13*(1+inflation)^(E20-1)</f>
        <v>782.58954351</v>
      </c>
      <c r="F22" s="60">
        <f t="shared" si="6"/>
        <v>798.24133438019999</v>
      </c>
      <c r="G22" s="60">
        <f t="shared" si="6"/>
        <v>814.20616106780403</v>
      </c>
      <c r="H22" s="60">
        <f t="shared" si="6"/>
        <v>830.49028428916006</v>
      </c>
      <c r="I22" s="60">
        <f t="shared" si="6"/>
        <v>847.10008997494333</v>
      </c>
      <c r="J22" s="60">
        <f t="shared" si="6"/>
        <v>864.04209177444227</v>
      </c>
      <c r="K22" s="60">
        <f t="shared" si="6"/>
        <v>881.32293360993094</v>
      </c>
      <c r="L22" s="60">
        <f t="shared" si="6"/>
        <v>898.94939228212957</v>
      </c>
      <c r="M22" s="60">
        <f t="shared" si="6"/>
        <v>916.92838012777213</v>
      </c>
      <c r="N22" s="60">
        <f>(C15+C13+C16/5)*(1+inflation)^(N20-1)</f>
        <v>935.26694773032762</v>
      </c>
      <c r="O22" s="60">
        <f>($C$13+C16/5)*(1+inflation)^(O20-1)</f>
        <v>953.97228668493403</v>
      </c>
      <c r="P22" s="60">
        <f>($C$13+C16/5)*(1+inflation)^(P20-1)</f>
        <v>973.05173241863292</v>
      </c>
      <c r="Q22" s="60">
        <f>($C$13+C16/5)*(1+inflation)^(Q20-1)</f>
        <v>992.51276706700548</v>
      </c>
      <c r="R22" s="60">
        <f>($C$13+C16/5)*(1+inflation)^(R20-1)</f>
        <v>1012.3630224083457</v>
      </c>
      <c r="S22" s="60">
        <f t="shared" ref="S22:W22" si="7">$C$13*(1+inflation)^(S20-1)</f>
        <v>1032.6102828565124</v>
      </c>
      <c r="T22" s="60">
        <f t="shared" si="7"/>
        <v>1053.2624885136427</v>
      </c>
      <c r="U22" s="60">
        <f t="shared" si="7"/>
        <v>1074.3277382839158</v>
      </c>
      <c r="V22" s="60">
        <f t="shared" si="7"/>
        <v>1095.814293049594</v>
      </c>
      <c r="W22" s="60">
        <f t="shared" si="7"/>
        <v>1117.7305789105858</v>
      </c>
      <c r="AB22" s="113">
        <f t="shared" si="3"/>
        <v>610</v>
      </c>
      <c r="AF22" s="115">
        <f t="shared" si="5"/>
        <v>0.90000000000000024</v>
      </c>
    </row>
    <row r="23" spans="1:44" s="67" customFormat="1" ht="16.899999999999999" customHeight="1">
      <c r="A23" s="220" t="s">
        <v>5</v>
      </c>
      <c r="B23" s="221"/>
      <c r="C23" s="130"/>
      <c r="D23" s="66">
        <f>D21-D22</f>
        <v>3531.7516445000001</v>
      </c>
      <c r="E23" s="66">
        <f t="shared" ref="E23:W23" si="8">E21-E22</f>
        <v>3516.2992765826248</v>
      </c>
      <c r="F23" s="66">
        <f t="shared" si="8"/>
        <v>3500.5400134919219</v>
      </c>
      <c r="G23" s="66">
        <f t="shared" si="8"/>
        <v>3484.4677172706206</v>
      </c>
      <c r="H23" s="66">
        <f t="shared" si="8"/>
        <v>3468.0761272023051</v>
      </c>
      <c r="I23" s="66">
        <f t="shared" si="8"/>
        <v>3451.3588573562338</v>
      </c>
      <c r="J23" s="66">
        <f t="shared" si="8"/>
        <v>3434.3093940830504</v>
      </c>
      <c r="K23" s="66">
        <f t="shared" si="8"/>
        <v>3416.9210934604143</v>
      </c>
      <c r="L23" s="66">
        <f t="shared" si="8"/>
        <v>3399.187178687539</v>
      </c>
      <c r="M23" s="66">
        <f t="shared" si="8"/>
        <v>3381.1007374276228</v>
      </c>
      <c r="N23" s="66">
        <f t="shared" si="8"/>
        <v>3362.6547190971273</v>
      </c>
      <c r="O23" s="66">
        <f t="shared" si="8"/>
        <v>3343.8419321008496</v>
      </c>
      <c r="P23" s="66">
        <f t="shared" si="8"/>
        <v>3324.6550410116797</v>
      </c>
      <c r="Q23" s="66">
        <f t="shared" si="8"/>
        <v>3305.0865636939716</v>
      </c>
      <c r="R23" s="66">
        <f t="shared" si="8"/>
        <v>3285.1288683693615</v>
      </c>
      <c r="S23" s="66">
        <f t="shared" si="8"/>
        <v>3264.774170623924</v>
      </c>
      <c r="T23" s="66">
        <f t="shared" si="8"/>
        <v>3244.0145303554564</v>
      </c>
      <c r="U23" s="66">
        <f t="shared" si="8"/>
        <v>3222.8418486597111</v>
      </c>
      <c r="V23" s="66">
        <f t="shared" si="8"/>
        <v>3201.2478646543577</v>
      </c>
      <c r="W23" s="66">
        <f t="shared" si="8"/>
        <v>3179.2241522394233</v>
      </c>
      <c r="AA23" s="113"/>
      <c r="AB23" s="113">
        <f t="shared" si="3"/>
        <v>620</v>
      </c>
      <c r="AC23" s="113"/>
      <c r="AD23" s="113"/>
      <c r="AE23" s="113"/>
      <c r="AF23" s="115">
        <f t="shared" si="5"/>
        <v>0.95000000000000029</v>
      </c>
      <c r="AG23" s="113"/>
      <c r="AH23" s="113"/>
      <c r="AI23" s="113"/>
    </row>
    <row r="24" spans="1:44" ht="16.899999999999999" customHeight="1">
      <c r="A24" s="218" t="s">
        <v>84</v>
      </c>
      <c r="B24" s="219"/>
      <c r="C24" s="128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3">
        <f t="shared" si="3"/>
        <v>630</v>
      </c>
      <c r="AF24" s="115">
        <f t="shared" si="5"/>
        <v>1.0000000000000002</v>
      </c>
    </row>
    <row r="25" spans="1:44" s="67" customFormat="1" ht="16.899999999999999" customHeight="1">
      <c r="A25" s="220" t="s">
        <v>6</v>
      </c>
      <c r="B25" s="221"/>
      <c r="C25" s="130"/>
      <c r="D25" s="66">
        <f>D23-D24</f>
        <v>3531.7516445000001</v>
      </c>
      <c r="E25" s="66">
        <f t="shared" ref="E25:I25" si="10">E23-E24</f>
        <v>3516.2992765826248</v>
      </c>
      <c r="F25" s="66">
        <f t="shared" si="10"/>
        <v>3500.5400134919219</v>
      </c>
      <c r="G25" s="66">
        <f t="shared" si="10"/>
        <v>3484.4677172706206</v>
      </c>
      <c r="H25" s="66">
        <f t="shared" si="10"/>
        <v>3468.0761272023051</v>
      </c>
      <c r="I25" s="66">
        <f t="shared" si="10"/>
        <v>3451.3588573562338</v>
      </c>
      <c r="J25" s="66">
        <f t="shared" ref="J25" si="11">J23-J24</f>
        <v>3434.3093940830504</v>
      </c>
      <c r="K25" s="66">
        <f t="shared" ref="K25" si="12">K23-K24</f>
        <v>3416.9210934604143</v>
      </c>
      <c r="L25" s="66">
        <f t="shared" ref="L25" si="13">L23-L24</f>
        <v>3399.187178687539</v>
      </c>
      <c r="M25" s="66">
        <f t="shared" ref="M25" si="14">M23-M24</f>
        <v>3381.1007374276228</v>
      </c>
      <c r="N25" s="66">
        <f t="shared" ref="N25" si="15">N23-N24</f>
        <v>3362.6547190971273</v>
      </c>
      <c r="O25" s="66">
        <f t="shared" ref="O25" si="16">O23-O24</f>
        <v>3343.8419321008496</v>
      </c>
      <c r="P25" s="66">
        <f t="shared" ref="P25" si="17">P23-P24</f>
        <v>3324.6550410116797</v>
      </c>
      <c r="Q25" s="66">
        <f t="shared" ref="Q25" si="18">Q23-Q24</f>
        <v>3305.0865636939716</v>
      </c>
      <c r="R25" s="66">
        <f t="shared" ref="R25" si="19">R23-R24</f>
        <v>3285.1288683693615</v>
      </c>
      <c r="S25" s="66">
        <f t="shared" ref="S25" si="20">S23-S24</f>
        <v>3264.774170623924</v>
      </c>
      <c r="T25" s="66">
        <f t="shared" ref="T25" si="21">T23-T24</f>
        <v>3244.0145303554564</v>
      </c>
      <c r="U25" s="66">
        <f t="shared" ref="U25" si="22">U23-U24</f>
        <v>3222.8418486597111</v>
      </c>
      <c r="V25" s="66">
        <f t="shared" ref="V25" si="23">V23-V24</f>
        <v>3201.2478646543577</v>
      </c>
      <c r="W25" s="66">
        <f t="shared" ref="W25" si="24">W23-W24</f>
        <v>3179.2241522394233</v>
      </c>
      <c r="AA25" s="113"/>
      <c r="AB25" s="113">
        <f t="shared" si="3"/>
        <v>640</v>
      </c>
      <c r="AC25" s="113"/>
      <c r="AD25" s="113"/>
      <c r="AE25" s="113"/>
      <c r="AF25" s="115"/>
      <c r="AG25" s="113"/>
      <c r="AH25" s="113"/>
      <c r="AI25" s="113"/>
    </row>
    <row r="26" spans="1:44" ht="16.899999999999999" customHeight="1">
      <c r="A26" s="218" t="s">
        <v>7</v>
      </c>
      <c r="B26" s="219"/>
      <c r="C26" s="128"/>
      <c r="D26" s="60">
        <f>($C$11-$M$14)/20</f>
        <v>2195</v>
      </c>
      <c r="E26" s="60">
        <f t="shared" ref="E26:W26" si="25">($C$11-$M$14)/20</f>
        <v>2195</v>
      </c>
      <c r="F26" s="60">
        <f t="shared" si="25"/>
        <v>2195</v>
      </c>
      <c r="G26" s="60">
        <f t="shared" si="25"/>
        <v>2195</v>
      </c>
      <c r="H26" s="60">
        <f t="shared" si="25"/>
        <v>2195</v>
      </c>
      <c r="I26" s="60">
        <f t="shared" si="25"/>
        <v>2195</v>
      </c>
      <c r="J26" s="60">
        <f t="shared" si="25"/>
        <v>2195</v>
      </c>
      <c r="K26" s="60">
        <f t="shared" si="25"/>
        <v>2195</v>
      </c>
      <c r="L26" s="60">
        <f t="shared" si="25"/>
        <v>2195</v>
      </c>
      <c r="M26" s="60">
        <f t="shared" si="25"/>
        <v>2195</v>
      </c>
      <c r="N26" s="60">
        <f t="shared" si="25"/>
        <v>2195</v>
      </c>
      <c r="O26" s="60">
        <f t="shared" si="25"/>
        <v>2195</v>
      </c>
      <c r="P26" s="60">
        <f t="shared" si="25"/>
        <v>2195</v>
      </c>
      <c r="Q26" s="60">
        <f t="shared" si="25"/>
        <v>2195</v>
      </c>
      <c r="R26" s="60">
        <f t="shared" si="25"/>
        <v>2195</v>
      </c>
      <c r="S26" s="60">
        <f t="shared" si="25"/>
        <v>2195</v>
      </c>
      <c r="T26" s="60">
        <f t="shared" si="25"/>
        <v>2195</v>
      </c>
      <c r="U26" s="60">
        <f t="shared" si="25"/>
        <v>2195</v>
      </c>
      <c r="V26" s="60">
        <f t="shared" si="25"/>
        <v>2195</v>
      </c>
      <c r="W26" s="60">
        <f t="shared" si="25"/>
        <v>2195</v>
      </c>
      <c r="AB26" s="113">
        <f t="shared" si="3"/>
        <v>650</v>
      </c>
      <c r="AF26" s="115"/>
    </row>
    <row r="27" spans="1:44" ht="15">
      <c r="A27" s="219" t="s">
        <v>8</v>
      </c>
      <c r="B27" s="222"/>
      <c r="C27" s="129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3">
        <f t="shared" si="3"/>
        <v>660</v>
      </c>
      <c r="AF27" s="115"/>
    </row>
    <row r="28" spans="1:44" s="67" customFormat="1" ht="16.899999999999999" customHeight="1">
      <c r="A28" s="220" t="s">
        <v>9</v>
      </c>
      <c r="B28" s="221"/>
      <c r="C28" s="130"/>
      <c r="D28" s="66">
        <f t="shared" ref="D28:W28" si="26">D25-D26-D27</f>
        <v>1336.7516445000001</v>
      </c>
      <c r="E28" s="66">
        <f t="shared" si="26"/>
        <v>1321.2992765826248</v>
      </c>
      <c r="F28" s="66">
        <f t="shared" si="26"/>
        <v>1305.5400134919219</v>
      </c>
      <c r="G28" s="66">
        <f t="shared" si="26"/>
        <v>1289.4677172706206</v>
      </c>
      <c r="H28" s="66">
        <f t="shared" si="26"/>
        <v>1273.0761272023051</v>
      </c>
      <c r="I28" s="66">
        <f t="shared" si="26"/>
        <v>1256.3588573562338</v>
      </c>
      <c r="J28" s="66">
        <f t="shared" si="26"/>
        <v>1239.3093940830504</v>
      </c>
      <c r="K28" s="66">
        <f t="shared" si="26"/>
        <v>1221.9210934604143</v>
      </c>
      <c r="L28" s="66">
        <f t="shared" si="26"/>
        <v>1204.187178687539</v>
      </c>
      <c r="M28" s="66">
        <f t="shared" si="26"/>
        <v>1186.1007374276228</v>
      </c>
      <c r="N28" s="66">
        <f t="shared" si="26"/>
        <v>1167.6547190971273</v>
      </c>
      <c r="O28" s="66">
        <f t="shared" si="26"/>
        <v>1148.8419321008496</v>
      </c>
      <c r="P28" s="66">
        <f t="shared" si="26"/>
        <v>1129.6550410116797</v>
      </c>
      <c r="Q28" s="66">
        <f t="shared" si="26"/>
        <v>1110.0865636939716</v>
      </c>
      <c r="R28" s="66">
        <f t="shared" si="26"/>
        <v>1090.1288683693615</v>
      </c>
      <c r="S28" s="66">
        <f t="shared" si="26"/>
        <v>1069.774170623924</v>
      </c>
      <c r="T28" s="66">
        <f t="shared" si="26"/>
        <v>1049.0145303554564</v>
      </c>
      <c r="U28" s="66">
        <f t="shared" si="26"/>
        <v>1027.8418486597111</v>
      </c>
      <c r="V28" s="66">
        <f t="shared" si="26"/>
        <v>1006.2478646543577</v>
      </c>
      <c r="W28" s="66">
        <f t="shared" si="26"/>
        <v>984.22415223942335</v>
      </c>
      <c r="AA28" s="113"/>
      <c r="AB28" s="113">
        <f t="shared" si="3"/>
        <v>670</v>
      </c>
      <c r="AC28" s="113"/>
      <c r="AD28" s="113"/>
      <c r="AE28" s="113"/>
      <c r="AF28" s="115"/>
      <c r="AG28" s="113"/>
      <c r="AH28" s="113"/>
      <c r="AI28" s="113"/>
    </row>
    <row r="29" spans="1:44" ht="16.899999999999999" customHeight="1">
      <c r="A29" s="227" t="s">
        <v>13</v>
      </c>
      <c r="B29" s="228"/>
      <c r="C29" s="127"/>
      <c r="D29" s="60">
        <f t="shared" ref="D29:W29" si="27">IF(D20&lt;=$M$13,-IPMT($M$12,D20,$M$13,$M$11),0)</f>
        <v>783.47500000000002</v>
      </c>
      <c r="E29" s="60">
        <f t="shared" si="27"/>
        <v>713.54299051979001</v>
      </c>
      <c r="F29" s="60">
        <f t="shared" si="27"/>
        <v>641.86268080257469</v>
      </c>
      <c r="G29" s="60">
        <f t="shared" si="27"/>
        <v>568.39036334242917</v>
      </c>
      <c r="H29" s="60">
        <f t="shared" si="27"/>
        <v>493.08123794577972</v>
      </c>
      <c r="I29" s="60">
        <f t="shared" si="27"/>
        <v>415.88938441421419</v>
      </c>
      <c r="J29" s="60">
        <f t="shared" si="27"/>
        <v>336.76773454435954</v>
      </c>
      <c r="K29" s="60">
        <f t="shared" si="27"/>
        <v>255.66804342775851</v>
      </c>
      <c r="L29" s="60">
        <f t="shared" si="27"/>
        <v>172.54086003324244</v>
      </c>
      <c r="M29" s="60">
        <f t="shared" si="27"/>
        <v>87.335497053863449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3">
        <f t="shared" si="3"/>
        <v>680</v>
      </c>
      <c r="AF29" s="115"/>
    </row>
    <row r="30" spans="1:44" ht="15">
      <c r="A30" s="218" t="s">
        <v>64</v>
      </c>
      <c r="B30" s="219"/>
      <c r="C30" s="128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3">
        <f t="shared" si="3"/>
        <v>690</v>
      </c>
      <c r="AF30" s="115"/>
    </row>
    <row r="31" spans="1:44" s="67" customFormat="1" ht="16.899999999999999" customHeight="1">
      <c r="A31" s="220" t="s">
        <v>10</v>
      </c>
      <c r="B31" s="221"/>
      <c r="C31" s="130"/>
      <c r="D31" s="66">
        <f t="shared" ref="D31:W31" si="29">D28-D29-D30</f>
        <v>553.27664450000009</v>
      </c>
      <c r="E31" s="66">
        <f t="shared" si="29"/>
        <v>607.75628606283476</v>
      </c>
      <c r="F31" s="66">
        <f t="shared" si="29"/>
        <v>663.67733268934717</v>
      </c>
      <c r="G31" s="66">
        <f t="shared" si="29"/>
        <v>721.07735392819143</v>
      </c>
      <c r="H31" s="66">
        <f t="shared" si="29"/>
        <v>779.99488925652531</v>
      </c>
      <c r="I31" s="66">
        <f t="shared" si="29"/>
        <v>840.46947294201959</v>
      </c>
      <c r="J31" s="66">
        <f t="shared" si="29"/>
        <v>902.54165953869085</v>
      </c>
      <c r="K31" s="66">
        <f t="shared" si="29"/>
        <v>966.25305003265589</v>
      </c>
      <c r="L31" s="66">
        <f t="shared" si="29"/>
        <v>1031.6463186542965</v>
      </c>
      <c r="M31" s="66">
        <f t="shared" si="29"/>
        <v>1098.7652403737593</v>
      </c>
      <c r="N31" s="66">
        <f t="shared" si="29"/>
        <v>1167.6547190971273</v>
      </c>
      <c r="O31" s="66">
        <f t="shared" si="29"/>
        <v>1148.8419321008496</v>
      </c>
      <c r="P31" s="66">
        <f t="shared" si="29"/>
        <v>1129.6550410116797</v>
      </c>
      <c r="Q31" s="66">
        <f t="shared" si="29"/>
        <v>1110.0865636939716</v>
      </c>
      <c r="R31" s="66">
        <f t="shared" si="29"/>
        <v>1090.1288683693615</v>
      </c>
      <c r="S31" s="66">
        <f t="shared" si="29"/>
        <v>1069.774170623924</v>
      </c>
      <c r="T31" s="66">
        <f t="shared" si="29"/>
        <v>1049.0145303554564</v>
      </c>
      <c r="U31" s="66">
        <f t="shared" si="29"/>
        <v>1027.8418486597111</v>
      </c>
      <c r="V31" s="66">
        <f t="shared" si="29"/>
        <v>1006.2478646543577</v>
      </c>
      <c r="W31" s="66">
        <f t="shared" si="29"/>
        <v>984.22415223942335</v>
      </c>
      <c r="AA31" s="113"/>
      <c r="AB31" s="113">
        <f t="shared" si="3"/>
        <v>700</v>
      </c>
      <c r="AC31" s="113"/>
      <c r="AD31" s="113"/>
      <c r="AE31" s="113"/>
      <c r="AF31" s="115"/>
      <c r="AG31" s="113"/>
      <c r="AH31" s="113"/>
      <c r="AI31" s="113"/>
    </row>
    <row r="32" spans="1:44" ht="15">
      <c r="A32" s="218" t="s">
        <v>47</v>
      </c>
      <c r="B32" s="219"/>
      <c r="C32" s="128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3">
        <f t="shared" si="3"/>
        <v>710</v>
      </c>
      <c r="AF32" s="115"/>
    </row>
    <row r="33" spans="1:35" ht="15">
      <c r="A33" s="218" t="s">
        <v>82</v>
      </c>
      <c r="B33" s="219"/>
      <c r="C33" s="128"/>
      <c r="D33" s="60">
        <f>IF(D31&lt;0,0,IF(D31&lt;38120,IF(B4="SAS",0.15*D31,0.15*D31*(1-I11)),IF(B4="SAS",0.33*D31,0.33*D31*(1-I11))))</f>
        <v>35.105403093525005</v>
      </c>
      <c r="E33" s="60">
        <f>IF(E31+D32&lt;0,0,IF(E31&lt;38120,IF($B$4="SAS",0.15*(E31+D32),0.15*(E31+D32)*(1-$I$11)),IF($B$4="SAS",0.33*(E31+D32),0.33*(1-$I$11)*(E31+D32))))</f>
        <v>38.56213635068687</v>
      </c>
      <c r="F33" s="60">
        <f>IF(F31+E32&lt;0,0,IF(F31&lt;38120,IF($B$4="SAS",0.15*(F31+E32),0.15*(F31+E32)*(1-$I$11)),IF($B$4="SAS",0.33*(F31+E32),0.33*(1-$I$11)*(F31+E32))))</f>
        <v>42.110326759139085</v>
      </c>
      <c r="G33" s="60">
        <f t="shared" ref="G33:W33" si="41">IF(G31+F32&lt;0,0,IF(G31&lt;38120,IF($B$4="SAS",0.15*(G31+F32),0.15*(G31+F32)*(1-$I$12)),IF($B$4="SAS",0.33*(G31+F32),0.33*(1-$I$12)*(G31+F32))))</f>
        <v>45.968681312922207</v>
      </c>
      <c r="H33" s="60">
        <f t="shared" si="41"/>
        <v>49.724674190103492</v>
      </c>
      <c r="I33" s="60">
        <f t="shared" si="41"/>
        <v>53.579928900053751</v>
      </c>
      <c r="J33" s="60">
        <f t="shared" si="41"/>
        <v>57.537030795591548</v>
      </c>
      <c r="K33" s="60">
        <f t="shared" si="41"/>
        <v>61.598631939581814</v>
      </c>
      <c r="L33" s="60">
        <f t="shared" si="41"/>
        <v>65.76745281421141</v>
      </c>
      <c r="M33" s="60">
        <f t="shared" si="41"/>
        <v>70.046284073827167</v>
      </c>
      <c r="N33" s="60">
        <f t="shared" si="41"/>
        <v>74.437988342441869</v>
      </c>
      <c r="O33" s="60">
        <f t="shared" si="41"/>
        <v>73.23867317142917</v>
      </c>
      <c r="P33" s="60">
        <f t="shared" si="41"/>
        <v>72.015508864494592</v>
      </c>
      <c r="Q33" s="60">
        <f t="shared" si="41"/>
        <v>70.768018435490703</v>
      </c>
      <c r="R33" s="60">
        <f t="shared" si="41"/>
        <v>69.495715358546803</v>
      </c>
      <c r="S33" s="60">
        <f t="shared" si="41"/>
        <v>68.19810337727516</v>
      </c>
      <c r="T33" s="60">
        <f t="shared" si="41"/>
        <v>66.874676310160353</v>
      </c>
      <c r="U33" s="60">
        <f t="shared" si="41"/>
        <v>65.524917852056589</v>
      </c>
      <c r="V33" s="60">
        <f t="shared" si="41"/>
        <v>64.148301371715306</v>
      </c>
      <c r="W33" s="60">
        <f t="shared" si="41"/>
        <v>62.744289705263235</v>
      </c>
      <c r="AB33" s="113">
        <f t="shared" si="3"/>
        <v>720</v>
      </c>
      <c r="AF33" s="115"/>
    </row>
    <row r="34" spans="1:35" s="67" customFormat="1" ht="16.899999999999999" customHeight="1">
      <c r="A34" s="220" t="s">
        <v>11</v>
      </c>
      <c r="B34" s="221"/>
      <c r="C34" s="130"/>
      <c r="D34" s="66">
        <f t="shared" ref="D34:W34" si="42">D31-D33</f>
        <v>518.17124140647513</v>
      </c>
      <c r="E34" s="66">
        <f t="shared" si="42"/>
        <v>569.19414971214792</v>
      </c>
      <c r="F34" s="66">
        <f t="shared" si="42"/>
        <v>621.5670059302081</v>
      </c>
      <c r="G34" s="66">
        <f t="shared" si="42"/>
        <v>675.10867261526926</v>
      </c>
      <c r="H34" s="66">
        <f t="shared" si="42"/>
        <v>730.27021506642177</v>
      </c>
      <c r="I34" s="66">
        <f t="shared" si="42"/>
        <v>786.88954404196579</v>
      </c>
      <c r="J34" s="66">
        <f t="shared" si="42"/>
        <v>845.00462874309926</v>
      </c>
      <c r="K34" s="66">
        <f t="shared" si="42"/>
        <v>904.65441809307413</v>
      </c>
      <c r="L34" s="66">
        <f t="shared" si="42"/>
        <v>965.87886584008504</v>
      </c>
      <c r="M34" s="66">
        <f t="shared" si="42"/>
        <v>1028.7189562999322</v>
      </c>
      <c r="N34" s="66">
        <f t="shared" si="42"/>
        <v>1093.2167307546854</v>
      </c>
      <c r="O34" s="66">
        <f t="shared" si="42"/>
        <v>1075.6032589294205</v>
      </c>
      <c r="P34" s="66">
        <f t="shared" si="42"/>
        <v>1057.639532147185</v>
      </c>
      <c r="Q34" s="66">
        <f t="shared" si="42"/>
        <v>1039.318545258481</v>
      </c>
      <c r="R34" s="66">
        <f t="shared" si="42"/>
        <v>1020.6331530108147</v>
      </c>
      <c r="S34" s="66">
        <f t="shared" si="42"/>
        <v>1001.5760672466488</v>
      </c>
      <c r="T34" s="66">
        <f t="shared" si="42"/>
        <v>982.13985404529603</v>
      </c>
      <c r="U34" s="66">
        <f t="shared" si="42"/>
        <v>962.31693080765456</v>
      </c>
      <c r="V34" s="66">
        <f t="shared" si="42"/>
        <v>942.09956328264241</v>
      </c>
      <c r="W34" s="66">
        <f t="shared" si="42"/>
        <v>921.47986253416013</v>
      </c>
      <c r="AA34" s="113"/>
      <c r="AB34" s="113">
        <f t="shared" si="3"/>
        <v>730</v>
      </c>
      <c r="AC34" s="113"/>
      <c r="AD34" s="113"/>
      <c r="AE34" s="113"/>
      <c r="AF34" s="115"/>
      <c r="AG34" s="113"/>
      <c r="AH34" s="113"/>
      <c r="AI34" s="113"/>
    </row>
    <row r="35" spans="1:35" s="70" customFormat="1" ht="16.899999999999999" customHeight="1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9"/>
      <c r="AB35" s="113">
        <f t="shared" si="3"/>
        <v>740</v>
      </c>
      <c r="AC35" s="119"/>
      <c r="AD35" s="119"/>
      <c r="AE35" s="119"/>
      <c r="AF35" s="119"/>
      <c r="AG35" s="119"/>
      <c r="AH35" s="119"/>
      <c r="AI35" s="119"/>
    </row>
    <row r="36" spans="1:35" ht="16.899999999999999" customHeight="1">
      <c r="A36" s="218" t="s">
        <v>32</v>
      </c>
      <c r="B36" s="219"/>
      <c r="C36" s="128"/>
      <c r="D36" s="60">
        <f t="shared" ref="D36:W36" si="43">D34+D27+D26</f>
        <v>2713.171241406475</v>
      </c>
      <c r="E36" s="60">
        <f t="shared" si="43"/>
        <v>2764.1941497121479</v>
      </c>
      <c r="F36" s="60">
        <f t="shared" si="43"/>
        <v>2816.5670059302083</v>
      </c>
      <c r="G36" s="60">
        <f t="shared" si="43"/>
        <v>2870.1086726152694</v>
      </c>
      <c r="H36" s="60">
        <f t="shared" si="43"/>
        <v>2925.2702150664218</v>
      </c>
      <c r="I36" s="60">
        <f t="shared" si="43"/>
        <v>2981.8895440419656</v>
      </c>
      <c r="J36" s="60">
        <f t="shared" si="43"/>
        <v>3040.0046287430991</v>
      </c>
      <c r="K36" s="60">
        <f t="shared" si="43"/>
        <v>3099.6544180930741</v>
      </c>
      <c r="L36" s="60">
        <f t="shared" si="43"/>
        <v>3160.8788658400849</v>
      </c>
      <c r="M36" s="60">
        <f t="shared" si="43"/>
        <v>3223.718956299932</v>
      </c>
      <c r="N36" s="60">
        <f t="shared" si="43"/>
        <v>3288.2167307546852</v>
      </c>
      <c r="O36" s="60">
        <f t="shared" si="43"/>
        <v>3270.6032589294205</v>
      </c>
      <c r="P36" s="60">
        <f t="shared" si="43"/>
        <v>3252.639532147185</v>
      </c>
      <c r="Q36" s="60">
        <f t="shared" si="43"/>
        <v>3234.3185452584812</v>
      </c>
      <c r="R36" s="60">
        <f t="shared" si="43"/>
        <v>3215.6331530108146</v>
      </c>
      <c r="S36" s="60">
        <f t="shared" si="43"/>
        <v>3196.5760672466486</v>
      </c>
      <c r="T36" s="60">
        <f t="shared" si="43"/>
        <v>3177.139854045296</v>
      </c>
      <c r="U36" s="60">
        <f t="shared" si="43"/>
        <v>3157.3169308076544</v>
      </c>
      <c r="V36" s="60">
        <f t="shared" si="43"/>
        <v>3137.0995632826425</v>
      </c>
      <c r="W36" s="60">
        <f t="shared" si="43"/>
        <v>3116.47986253416</v>
      </c>
      <c r="AB36" s="113">
        <f t="shared" si="3"/>
        <v>750</v>
      </c>
      <c r="AF36" s="115"/>
    </row>
    <row r="37" spans="1:35" ht="15">
      <c r="A37" s="219" t="s">
        <v>21</v>
      </c>
      <c r="B37" s="222"/>
      <c r="C37" s="134">
        <f>-C11+M14</f>
        <v>-43900</v>
      </c>
      <c r="D37" s="60">
        <f>D36+D30+D29</f>
        <v>3496.6462414064749</v>
      </c>
      <c r="E37" s="60">
        <f>E36+E30+E29</f>
        <v>3477.7371402319377</v>
      </c>
      <c r="F37" s="60">
        <f t="shared" ref="F37:W37" si="44">F36+F30+F29</f>
        <v>3458.429686732783</v>
      </c>
      <c r="G37" s="60">
        <f t="shared" si="44"/>
        <v>3438.4990359576987</v>
      </c>
      <c r="H37" s="60">
        <f t="shared" si="44"/>
        <v>3418.3514530122015</v>
      </c>
      <c r="I37" s="60">
        <f t="shared" si="44"/>
        <v>3397.7789284561795</v>
      </c>
      <c r="J37" s="60">
        <f t="shared" si="44"/>
        <v>3376.7723632874586</v>
      </c>
      <c r="K37" s="60">
        <f t="shared" si="44"/>
        <v>3355.3224615208328</v>
      </c>
      <c r="L37" s="60">
        <f t="shared" si="44"/>
        <v>3333.4197258733275</v>
      </c>
      <c r="M37" s="60">
        <f t="shared" si="44"/>
        <v>3311.0544533537955</v>
      </c>
      <c r="N37" s="60">
        <f t="shared" si="44"/>
        <v>3288.2167307546852</v>
      </c>
      <c r="O37" s="60">
        <f t="shared" si="44"/>
        <v>3270.6032589294205</v>
      </c>
      <c r="P37" s="60">
        <f t="shared" si="44"/>
        <v>3252.639532147185</v>
      </c>
      <c r="Q37" s="60">
        <f t="shared" si="44"/>
        <v>3234.3185452584812</v>
      </c>
      <c r="R37" s="60">
        <f t="shared" si="44"/>
        <v>3215.6331530108146</v>
      </c>
      <c r="S37" s="60">
        <f t="shared" si="44"/>
        <v>3196.5760672466486</v>
      </c>
      <c r="T37" s="60">
        <f t="shared" si="44"/>
        <v>3177.139854045296</v>
      </c>
      <c r="U37" s="60">
        <f t="shared" si="44"/>
        <v>3157.3169308076544</v>
      </c>
      <c r="V37" s="60">
        <f t="shared" si="44"/>
        <v>3137.0995632826425</v>
      </c>
      <c r="W37" s="60">
        <f t="shared" si="44"/>
        <v>3116.47986253416</v>
      </c>
      <c r="AB37" s="113">
        <f t="shared" si="3"/>
        <v>760</v>
      </c>
      <c r="AF37" s="115"/>
    </row>
    <row r="38" spans="1:35" ht="15">
      <c r="A38" s="223" t="s">
        <v>174</v>
      </c>
      <c r="B38" s="223"/>
      <c r="C38" s="136">
        <f>-M8-Q8</f>
        <v>-13000</v>
      </c>
      <c r="D38" s="60">
        <f>D36</f>
        <v>2713.171241406475</v>
      </c>
      <c r="E38" s="60">
        <f t="shared" ref="E38:W38" si="45">E36</f>
        <v>2764.1941497121479</v>
      </c>
      <c r="F38" s="60">
        <f t="shared" si="45"/>
        <v>2816.5670059302083</v>
      </c>
      <c r="G38" s="60">
        <f t="shared" si="45"/>
        <v>2870.1086726152694</v>
      </c>
      <c r="H38" s="60">
        <f t="shared" si="45"/>
        <v>2925.2702150664218</v>
      </c>
      <c r="I38" s="60">
        <f t="shared" si="45"/>
        <v>2981.8895440419656</v>
      </c>
      <c r="J38" s="60">
        <f t="shared" si="45"/>
        <v>3040.0046287430991</v>
      </c>
      <c r="K38" s="60">
        <f t="shared" si="45"/>
        <v>3099.6544180930741</v>
      </c>
      <c r="L38" s="60">
        <f t="shared" si="45"/>
        <v>3160.8788658400849</v>
      </c>
      <c r="M38" s="60">
        <f t="shared" si="45"/>
        <v>3223.718956299932</v>
      </c>
      <c r="N38" s="60">
        <f t="shared" si="45"/>
        <v>3288.2167307546852</v>
      </c>
      <c r="O38" s="60">
        <f t="shared" si="45"/>
        <v>3270.6032589294205</v>
      </c>
      <c r="P38" s="60">
        <f t="shared" si="45"/>
        <v>3252.639532147185</v>
      </c>
      <c r="Q38" s="60">
        <f t="shared" si="45"/>
        <v>3234.3185452584812</v>
      </c>
      <c r="R38" s="60">
        <f t="shared" si="45"/>
        <v>3215.6331530108146</v>
      </c>
      <c r="S38" s="60">
        <f t="shared" si="45"/>
        <v>3196.5760672466486</v>
      </c>
      <c r="T38" s="60">
        <f t="shared" si="45"/>
        <v>3177.139854045296</v>
      </c>
      <c r="U38" s="60">
        <f t="shared" si="45"/>
        <v>3157.3169308076544</v>
      </c>
      <c r="V38" s="60">
        <f t="shared" si="45"/>
        <v>3137.0995632826425</v>
      </c>
      <c r="W38" s="60">
        <f t="shared" si="45"/>
        <v>3116.47986253416</v>
      </c>
      <c r="AB38" s="113">
        <f t="shared" si="3"/>
        <v>770</v>
      </c>
      <c r="AF38" s="115"/>
    </row>
    <row r="39" spans="1:35" ht="16.899999999999999" customHeight="1">
      <c r="A39" s="218" t="s">
        <v>15</v>
      </c>
      <c r="B39" s="219"/>
      <c r="C39" s="128"/>
      <c r="D39" s="60">
        <f t="shared" ref="D39:W39" si="46">D36*(1+taux_actu)^-(D20-1)</f>
        <v>2713.171241406475</v>
      </c>
      <c r="E39" s="60">
        <f t="shared" si="46"/>
        <v>2683.683640497231</v>
      </c>
      <c r="F39" s="60">
        <f t="shared" si="46"/>
        <v>2654.8845375909214</v>
      </c>
      <c r="G39" s="60">
        <f t="shared" si="46"/>
        <v>2626.5560131810321</v>
      </c>
      <c r="H39" s="60">
        <f t="shared" si="46"/>
        <v>2599.0646977400579</v>
      </c>
      <c r="I39" s="60">
        <f t="shared" si="46"/>
        <v>2572.2041147538894</v>
      </c>
      <c r="J39" s="60">
        <f t="shared" si="46"/>
        <v>2545.9560168177832</v>
      </c>
      <c r="K39" s="60">
        <f t="shared" si="46"/>
        <v>2520.3026954494017</v>
      </c>
      <c r="L39" s="60">
        <f t="shared" si="46"/>
        <v>2495.2269652419232</v>
      </c>
      <c r="M39" s="60">
        <f t="shared" si="46"/>
        <v>2470.7121484816012</v>
      </c>
      <c r="N39" s="60">
        <f t="shared" si="46"/>
        <v>2446.7420602161646</v>
      </c>
      <c r="O39" s="60">
        <f t="shared" si="46"/>
        <v>2362.7533815638644</v>
      </c>
      <c r="P39" s="60">
        <f t="shared" si="46"/>
        <v>2281.3359253683211</v>
      </c>
      <c r="Q39" s="60">
        <f t="shared" si="46"/>
        <v>2202.4135473585488</v>
      </c>
      <c r="R39" s="60">
        <f t="shared" si="46"/>
        <v>2125.9123344361178</v>
      </c>
      <c r="S39" s="60">
        <f t="shared" si="46"/>
        <v>2051.7605395246751</v>
      </c>
      <c r="T39" s="60">
        <f t="shared" si="46"/>
        <v>1979.888518319648</v>
      </c>
      <c r="U39" s="60">
        <f t="shared" si="46"/>
        <v>1910.2286678827686</v>
      </c>
      <c r="V39" s="60">
        <f t="shared" si="46"/>
        <v>1842.7153670276195</v>
      </c>
      <c r="W39" s="60">
        <f t="shared" si="46"/>
        <v>1777.2849184439801</v>
      </c>
      <c r="AB39" s="113">
        <f t="shared" si="3"/>
        <v>780</v>
      </c>
      <c r="AF39" s="115"/>
    </row>
    <row r="40" spans="1:35" s="67" customFormat="1" ht="16.899999999999999" customHeight="1">
      <c r="A40" s="220" t="s">
        <v>16</v>
      </c>
      <c r="B40" s="221"/>
      <c r="C40" s="137">
        <f>-C11+M14</f>
        <v>-43900</v>
      </c>
      <c r="D40" s="66">
        <f>D39+C40</f>
        <v>-41186.828758593525</v>
      </c>
      <c r="E40" s="66">
        <f>D40+E39</f>
        <v>-38503.14511809629</v>
      </c>
      <c r="F40" s="66">
        <f t="shared" ref="F40:V40" si="47">E40+F39</f>
        <v>-35848.260580505368</v>
      </c>
      <c r="G40" s="66">
        <f t="shared" si="47"/>
        <v>-33221.704567324334</v>
      </c>
      <c r="H40" s="66">
        <f t="shared" si="47"/>
        <v>-30622.639869584276</v>
      </c>
      <c r="I40" s="66">
        <f t="shared" si="47"/>
        <v>-28050.435754830389</v>
      </c>
      <c r="J40" s="66">
        <f t="shared" si="47"/>
        <v>-25504.479738012604</v>
      </c>
      <c r="K40" s="66">
        <f t="shared" si="47"/>
        <v>-22984.177042563202</v>
      </c>
      <c r="L40" s="66">
        <f t="shared" si="47"/>
        <v>-20488.950077321279</v>
      </c>
      <c r="M40" s="66">
        <f t="shared" si="47"/>
        <v>-18018.237928839677</v>
      </c>
      <c r="N40" s="66">
        <f t="shared" si="47"/>
        <v>-15571.495868623511</v>
      </c>
      <c r="O40" s="66">
        <f t="shared" si="47"/>
        <v>-13208.742487059648</v>
      </c>
      <c r="P40" s="66">
        <f t="shared" si="47"/>
        <v>-10927.406561691327</v>
      </c>
      <c r="Q40" s="66">
        <f t="shared" si="47"/>
        <v>-8724.9930143327783</v>
      </c>
      <c r="R40" s="66">
        <f t="shared" si="47"/>
        <v>-6599.0806798966605</v>
      </c>
      <c r="S40" s="66">
        <f t="shared" si="47"/>
        <v>-4547.320140371985</v>
      </c>
      <c r="T40" s="66">
        <f t="shared" si="47"/>
        <v>-2567.4316220523369</v>
      </c>
      <c r="U40" s="66">
        <f t="shared" si="47"/>
        <v>-657.20295416956833</v>
      </c>
      <c r="V40" s="66">
        <f t="shared" si="47"/>
        <v>1185.5124128580512</v>
      </c>
      <c r="W40" s="66">
        <f>V40+W39</f>
        <v>2962.7973313020311</v>
      </c>
      <c r="AA40" s="113"/>
      <c r="AB40" s="113">
        <f t="shared" si="3"/>
        <v>790</v>
      </c>
      <c r="AC40" s="113"/>
      <c r="AD40" s="113"/>
      <c r="AE40" s="113"/>
      <c r="AF40" s="115"/>
      <c r="AG40" s="113"/>
      <c r="AH40" s="113"/>
      <c r="AI40" s="113"/>
    </row>
    <row r="41" spans="1:35" ht="16.899999999999999" customHeight="1">
      <c r="AB41" s="113">
        <f>AB40+10</f>
        <v>800</v>
      </c>
    </row>
    <row r="42" spans="1:35" ht="15">
      <c r="A42" s="218" t="s">
        <v>33</v>
      </c>
      <c r="B42" s="219"/>
      <c r="C42" s="128"/>
      <c r="D42" s="60">
        <f t="shared" ref="D42:W42" si="48">IF(D20&lt;4,IF(D31&lt;0,0,$I$11*D31),$I$12*D31)</f>
        <v>319.24062387650002</v>
      </c>
      <c r="E42" s="60">
        <f t="shared" si="48"/>
        <v>350.67537705825561</v>
      </c>
      <c r="F42" s="60">
        <f t="shared" si="48"/>
        <v>382.94182096175331</v>
      </c>
      <c r="G42" s="60">
        <f t="shared" si="48"/>
        <v>414.61947850871002</v>
      </c>
      <c r="H42" s="60">
        <f t="shared" si="48"/>
        <v>448.49706132250202</v>
      </c>
      <c r="I42" s="60">
        <f t="shared" si="48"/>
        <v>483.2699469416612</v>
      </c>
      <c r="J42" s="60">
        <f t="shared" si="48"/>
        <v>518.96145423474718</v>
      </c>
      <c r="K42" s="60">
        <f t="shared" si="48"/>
        <v>555.59550376877712</v>
      </c>
      <c r="L42" s="60">
        <f t="shared" si="48"/>
        <v>593.19663322622046</v>
      </c>
      <c r="M42" s="60">
        <f t="shared" si="48"/>
        <v>631.7900132149116</v>
      </c>
      <c r="N42" s="60">
        <f t="shared" si="48"/>
        <v>671.40146348084818</v>
      </c>
      <c r="O42" s="60">
        <f t="shared" si="48"/>
        <v>660.58411095798851</v>
      </c>
      <c r="P42" s="60">
        <f t="shared" si="48"/>
        <v>649.55164858171577</v>
      </c>
      <c r="Q42" s="60">
        <f t="shared" si="48"/>
        <v>638.29977412403366</v>
      </c>
      <c r="R42" s="60">
        <f t="shared" si="48"/>
        <v>626.82409931238283</v>
      </c>
      <c r="S42" s="60">
        <f t="shared" si="48"/>
        <v>615.12014810875621</v>
      </c>
      <c r="T42" s="60">
        <f t="shared" si="48"/>
        <v>603.18335495438737</v>
      </c>
      <c r="U42" s="60">
        <f t="shared" si="48"/>
        <v>591.00906297933386</v>
      </c>
      <c r="V42" s="60">
        <f t="shared" si="48"/>
        <v>578.59252217625567</v>
      </c>
      <c r="W42" s="60">
        <f t="shared" si="48"/>
        <v>565.9288875376684</v>
      </c>
      <c r="AB42" s="113">
        <f>AB41+8</f>
        <v>808</v>
      </c>
      <c r="AF42" s="115"/>
    </row>
    <row r="43" spans="1:35" ht="15">
      <c r="A43" s="218" t="s">
        <v>48</v>
      </c>
      <c r="B43" s="219"/>
      <c r="C43" s="128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260.48919410655924</v>
      </c>
      <c r="H43" s="60">
        <f t="shared" si="49"/>
        <v>281.77315374391975</v>
      </c>
      <c r="I43" s="60">
        <f t="shared" si="49"/>
        <v>303.61959710030459</v>
      </c>
      <c r="J43" s="60">
        <f t="shared" si="49"/>
        <v>326.04317450835208</v>
      </c>
      <c r="K43" s="60">
        <f t="shared" si="49"/>
        <v>349.05891432429701</v>
      </c>
      <c r="L43" s="60">
        <f t="shared" si="49"/>
        <v>372.68223261386458</v>
      </c>
      <c r="M43" s="60">
        <f t="shared" si="49"/>
        <v>396.92894308502059</v>
      </c>
      <c r="N43" s="60">
        <f t="shared" si="49"/>
        <v>421.81526727383721</v>
      </c>
      <c r="O43" s="60">
        <f t="shared" si="49"/>
        <v>415.01914797143195</v>
      </c>
      <c r="P43" s="60">
        <f t="shared" si="49"/>
        <v>408.08788356546927</v>
      </c>
      <c r="Q43" s="60">
        <f t="shared" si="49"/>
        <v>401.01877113444732</v>
      </c>
      <c r="R43" s="60">
        <f t="shared" si="49"/>
        <v>393.80905369843185</v>
      </c>
      <c r="S43" s="60">
        <f t="shared" si="49"/>
        <v>386.45591913789258</v>
      </c>
      <c r="T43" s="60">
        <f t="shared" si="49"/>
        <v>378.95649909090866</v>
      </c>
      <c r="U43" s="60">
        <f t="shared" si="49"/>
        <v>371.3078678283207</v>
      </c>
      <c r="V43" s="60">
        <f t="shared" si="49"/>
        <v>363.50704110638674</v>
      </c>
      <c r="W43" s="60">
        <f t="shared" si="49"/>
        <v>355.55097499649173</v>
      </c>
      <c r="AB43" s="113">
        <f t="shared" si="3"/>
        <v>818</v>
      </c>
      <c r="AF43" s="115"/>
    </row>
    <row r="44" spans="1:35" ht="15">
      <c r="A44" s="218" t="s">
        <v>49</v>
      </c>
      <c r="B44" s="219"/>
      <c r="C44" s="128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215.68505272023106</v>
      </c>
      <c r="H44" s="60">
        <f t="shared" si="50"/>
        <v>233.30817129996558</v>
      </c>
      <c r="I44" s="60">
        <f t="shared" si="50"/>
        <v>251.39702639905221</v>
      </c>
      <c r="J44" s="60">
        <f t="shared" si="50"/>
        <v>269.96374849291556</v>
      </c>
      <c r="K44" s="60">
        <f t="shared" si="50"/>
        <v>289.02078106051795</v>
      </c>
      <c r="L44" s="60">
        <f t="shared" si="50"/>
        <v>308.58088860427989</v>
      </c>
      <c r="M44" s="60">
        <f t="shared" si="50"/>
        <v>328.6571648743971</v>
      </c>
      <c r="N44" s="60">
        <f t="shared" si="50"/>
        <v>349.26304130273724</v>
      </c>
      <c r="O44" s="60">
        <f t="shared" si="50"/>
        <v>343.63585452034567</v>
      </c>
      <c r="P44" s="60">
        <f t="shared" si="50"/>
        <v>337.89676759220856</v>
      </c>
      <c r="Q44" s="60">
        <f t="shared" si="50"/>
        <v>332.04354249932243</v>
      </c>
      <c r="R44" s="60">
        <f t="shared" si="50"/>
        <v>326.0738964623016</v>
      </c>
      <c r="S44" s="60">
        <f t="shared" si="50"/>
        <v>319.9855010461751</v>
      </c>
      <c r="T44" s="60">
        <f t="shared" si="50"/>
        <v>313.7759812472724</v>
      </c>
      <c r="U44" s="60">
        <f t="shared" si="50"/>
        <v>307.44291456184953</v>
      </c>
      <c r="V44" s="60">
        <f t="shared" si="50"/>
        <v>300.98383003608825</v>
      </c>
      <c r="W44" s="60">
        <f t="shared" si="50"/>
        <v>294.3962072970952</v>
      </c>
      <c r="AB44" s="113">
        <f t="shared" si="3"/>
        <v>828</v>
      </c>
      <c r="AF44" s="115"/>
    </row>
    <row r="45" spans="1:35" s="67" customFormat="1" ht="16.899999999999999" customHeight="1">
      <c r="A45" s="220" t="s">
        <v>22</v>
      </c>
      <c r="B45" s="221"/>
      <c r="C45" s="130"/>
      <c r="D45" s="156">
        <f>(D44/$M$9)/$M$10</f>
        <v>0</v>
      </c>
      <c r="E45" s="156">
        <f t="shared" ref="E45:W45" si="51">(E44/$M$9)/$M$10</f>
        <v>0</v>
      </c>
      <c r="F45" s="156">
        <f t="shared" si="51"/>
        <v>0</v>
      </c>
      <c r="G45" s="156">
        <f t="shared" si="51"/>
        <v>1.6591157901556235E-2</v>
      </c>
      <c r="H45" s="156">
        <f t="shared" si="51"/>
        <v>1.7946782407689661E-2</v>
      </c>
      <c r="I45" s="156">
        <f t="shared" si="51"/>
        <v>1.9338232799927094E-2</v>
      </c>
      <c r="J45" s="156">
        <f t="shared" si="51"/>
        <v>2.0766442191762734E-2</v>
      </c>
      <c r="K45" s="156">
        <f t="shared" si="51"/>
        <v>2.2232367773885996E-2</v>
      </c>
      <c r="L45" s="156">
        <f t="shared" si="51"/>
        <v>2.3736991431098454E-2</v>
      </c>
      <c r="M45" s="156">
        <f t="shared" si="51"/>
        <v>2.5281320374953623E-2</v>
      </c>
      <c r="N45" s="156">
        <f t="shared" si="51"/>
        <v>2.6866387792518247E-2</v>
      </c>
      <c r="O45" s="156">
        <f t="shared" si="51"/>
        <v>2.6433527270795822E-2</v>
      </c>
      <c r="P45" s="156">
        <f t="shared" si="51"/>
        <v>2.5992059045554506E-2</v>
      </c>
      <c r="Q45" s="156">
        <f t="shared" si="51"/>
        <v>2.5541810961486344E-2</v>
      </c>
      <c r="R45" s="156">
        <f t="shared" si="51"/>
        <v>2.5082607420177046E-2</v>
      </c>
      <c r="S45" s="156">
        <f t="shared" si="51"/>
        <v>2.4614269311244236E-2</v>
      </c>
      <c r="T45" s="156">
        <f t="shared" si="51"/>
        <v>2.4136613942097877E-2</v>
      </c>
      <c r="U45" s="156">
        <f t="shared" si="51"/>
        <v>2.3649454966296116E-2</v>
      </c>
      <c r="V45" s="156">
        <f t="shared" si="51"/>
        <v>2.3152602310468326E-2</v>
      </c>
      <c r="W45" s="156">
        <f t="shared" si="51"/>
        <v>2.2645862099776551E-2</v>
      </c>
      <c r="AA45" s="113"/>
      <c r="AB45" s="113">
        <f t="shared" si="3"/>
        <v>838</v>
      </c>
      <c r="AC45" s="113"/>
      <c r="AD45" s="113"/>
      <c r="AE45" s="113"/>
      <c r="AF45" s="115"/>
      <c r="AG45" s="113"/>
      <c r="AH45" s="113"/>
      <c r="AI45" s="113"/>
    </row>
    <row r="46" spans="1:35" ht="16.899999999999999" customHeight="1">
      <c r="A46" s="230" t="s">
        <v>35</v>
      </c>
      <c r="B46" s="231"/>
      <c r="C46" s="131"/>
      <c r="D46" s="71">
        <f t="shared" ref="D46:W46" si="52">IF(D20&lt;=$M$13,D25/-PMT($M$12,$M$13,$M$11),"")</f>
        <v>0.98631469354401025</v>
      </c>
      <c r="E46" s="71">
        <f t="shared" si="52"/>
        <v>0.98199930020351589</v>
      </c>
      <c r="F46" s="71">
        <f t="shared" si="52"/>
        <v>0.97759820003839182</v>
      </c>
      <c r="G46" s="71">
        <f t="shared" si="52"/>
        <v>0.97310967889711952</v>
      </c>
      <c r="H46" s="71">
        <f t="shared" si="52"/>
        <v>0.96853198834515031</v>
      </c>
      <c r="I46" s="71">
        <f t="shared" si="52"/>
        <v>0.96386334497924486</v>
      </c>
      <c r="J46" s="71">
        <f t="shared" si="52"/>
        <v>0.9591019297280996</v>
      </c>
      <c r="K46" s="71">
        <f t="shared" si="52"/>
        <v>0.95424588713898528</v>
      </c>
      <c r="L46" s="71">
        <f t="shared" si="52"/>
        <v>0.94929332465011862</v>
      </c>
      <c r="M46" s="71">
        <f t="shared" si="52"/>
        <v>0.94424231184848051</v>
      </c>
      <c r="N46" s="71" t="str">
        <f t="shared" si="52"/>
        <v/>
      </c>
      <c r="O46" s="71" t="str">
        <f t="shared" si="52"/>
        <v/>
      </c>
      <c r="P46" s="71" t="str">
        <f t="shared" si="52"/>
        <v/>
      </c>
      <c r="Q46" s="71" t="str">
        <f t="shared" si="52"/>
        <v/>
      </c>
      <c r="R46" s="71" t="str">
        <f t="shared" si="52"/>
        <v/>
      </c>
      <c r="S46" s="71" t="str">
        <f t="shared" si="52"/>
        <v/>
      </c>
      <c r="T46" s="71" t="str">
        <f t="shared" si="52"/>
        <v/>
      </c>
      <c r="U46" s="71" t="str">
        <f t="shared" si="52"/>
        <v/>
      </c>
      <c r="V46" s="71" t="str">
        <f t="shared" si="52"/>
        <v/>
      </c>
      <c r="W46" s="71" t="str">
        <f t="shared" si="52"/>
        <v/>
      </c>
      <c r="X46" s="72"/>
      <c r="AB46" s="113" t="e">
        <f>#REF!+10</f>
        <v>#REF!</v>
      </c>
    </row>
    <row r="47" spans="1:35" ht="16.899999999999999" customHeight="1">
      <c r="A47" s="157"/>
      <c r="B47" s="157"/>
      <c r="C47" s="157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72"/>
    </row>
    <row r="48" spans="1:35" ht="16.899999999999999" customHeight="1">
      <c r="A48" s="217" t="s">
        <v>17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AB48" s="113" t="e">
        <f>#REF!+10</f>
        <v>#REF!</v>
      </c>
    </row>
    <row r="49" spans="1:35" ht="16.899999999999999" customHeight="1">
      <c r="A49" s="229" t="s">
        <v>18</v>
      </c>
      <c r="B49" s="229"/>
      <c r="C49" s="60">
        <f>W40</f>
        <v>2962.7973313020311</v>
      </c>
      <c r="D49" s="89" t="str">
        <f>IF(C49&gt;0,"OK","PB")</f>
        <v>OK</v>
      </c>
      <c r="F49" s="73"/>
      <c r="AB49" s="113" t="e">
        <f>#REF!+10</f>
        <v>#REF!</v>
      </c>
    </row>
    <row r="50" spans="1:35" ht="16.899999999999999" customHeight="1">
      <c r="A50" s="229" t="s">
        <v>40</v>
      </c>
      <c r="B50" s="229"/>
      <c r="C50" s="60">
        <f>SUM(D42:W42)</f>
        <v>10899.282985327409</v>
      </c>
      <c r="AB50" s="113" t="e">
        <f t="shared" ref="AB50:AB58" si="53">AB49+10</f>
        <v>#REF!</v>
      </c>
    </row>
    <row r="51" spans="1:35" ht="15">
      <c r="A51" s="229" t="s">
        <v>19</v>
      </c>
      <c r="B51" s="229"/>
      <c r="C51" s="74">
        <f>IRR(C37:W37)</f>
        <v>4.3588686837307433E-2</v>
      </c>
      <c r="D51" s="135" t="str">
        <f>IF(C51&gt;M12,"OK","PB")</f>
        <v>OK</v>
      </c>
      <c r="AB51" s="113" t="e">
        <f t="shared" si="53"/>
        <v>#REF!</v>
      </c>
    </row>
    <row r="52" spans="1:35" ht="29.45" customHeight="1">
      <c r="A52" s="229" t="s">
        <v>20</v>
      </c>
      <c r="B52" s="229"/>
      <c r="C52" s="75">
        <f>AVERAGE(D34:W34)/M8</f>
        <v>6.8236466137560264E-2</v>
      </c>
      <c r="AB52" s="113" t="e">
        <f t="shared" si="53"/>
        <v>#REF!</v>
      </c>
    </row>
    <row r="53" spans="1:35" ht="26.45" customHeight="1">
      <c r="A53" s="229" t="s">
        <v>41</v>
      </c>
      <c r="B53" s="229"/>
      <c r="C53" s="75">
        <f>AVERAGE(D45:W45)</f>
        <v>1.9700424500064442E-2</v>
      </c>
      <c r="AB53" s="113" t="e">
        <f t="shared" si="53"/>
        <v>#REF!</v>
      </c>
    </row>
    <row r="54" spans="1:35" ht="16.899999999999999" customHeight="1">
      <c r="A54" s="76" t="s">
        <v>104</v>
      </c>
      <c r="B54" s="90">
        <f>C11/(C9*1000)</f>
        <v>1.5678571428571428</v>
      </c>
      <c r="AB54" s="113" t="e">
        <f>#REF!+10</f>
        <v>#REF!</v>
      </c>
    </row>
    <row r="55" spans="1:35" ht="16.899999999999999" customHeight="1">
      <c r="D55" s="77"/>
      <c r="AB55" s="113" t="e">
        <f t="shared" si="53"/>
        <v>#REF!</v>
      </c>
    </row>
    <row r="56" spans="1:35" s="78" customFormat="1" ht="16.899999999999999" customHeight="1">
      <c r="AA56" s="120"/>
      <c r="AB56" s="113" t="e">
        <f t="shared" si="53"/>
        <v>#REF!</v>
      </c>
      <c r="AC56" s="120"/>
      <c r="AD56" s="120"/>
      <c r="AE56" s="120"/>
      <c r="AF56" s="120"/>
      <c r="AG56" s="120"/>
      <c r="AH56" s="120"/>
      <c r="AI56" s="120"/>
    </row>
    <row r="57" spans="1:35" ht="16.899999999999999" customHeight="1">
      <c r="AB57" s="113" t="e">
        <f t="shared" si="53"/>
        <v>#REF!</v>
      </c>
    </row>
    <row r="58" spans="1:35" ht="16.899999999999999" customHeight="1">
      <c r="AB58" s="113" t="e">
        <f t="shared" si="53"/>
        <v>#REF!</v>
      </c>
    </row>
    <row r="59" spans="1:35" ht="16.899999999999999" customHeight="1">
      <c r="AB59" s="41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8:O48"/>
    <mergeCell ref="P48:Q48"/>
    <mergeCell ref="R48:S48"/>
    <mergeCell ref="T48:U48"/>
    <mergeCell ref="V48:W48"/>
    <mergeCell ref="A53:B53"/>
    <mergeCell ref="A43:B43"/>
    <mergeCell ref="A45:B45"/>
    <mergeCell ref="I48:K48"/>
    <mergeCell ref="L48:M48"/>
    <mergeCell ref="A49:B49"/>
    <mergeCell ref="A51:B51"/>
    <mergeCell ref="A52:B52"/>
    <mergeCell ref="A50:B50"/>
    <mergeCell ref="A48:E48"/>
    <mergeCell ref="F48:H48"/>
    <mergeCell ref="A44:B44"/>
    <mergeCell ref="A46:B46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49:C50">
    <cfRule type="cellIs" dxfId="13" priority="9" operator="lessThan">
      <formula>0</formula>
    </cfRule>
  </conditionalFormatting>
  <conditionalFormatting sqref="D49">
    <cfRule type="containsText" dxfId="12" priority="3" operator="containsText" text="PB">
      <formula>NOT(ISERROR(SEARCH("PB",D49)))</formula>
    </cfRule>
    <cfRule type="containsText" dxfId="11" priority="4" operator="containsText" text="OK">
      <formula>NOT(ISERROR(SEARCH("OK",D49)))</formula>
    </cfRule>
  </conditionalFormatting>
  <conditionalFormatting sqref="D51">
    <cfRule type="cellIs" dxfId="10" priority="1" operator="equal">
      <formula>"PB"</formula>
    </cfRule>
    <cfRule type="cellIs" dxfId="9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$AB$2:$AB$58</formula1>
    </dataValidation>
  </dataValidations>
  <pageMargins left="0.23622047244094491" right="0.23622047244094491" top="0.15748031496062992" bottom="0.15748031496062992" header="0" footer="0"/>
  <pageSetup paperSize="9" scale="62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703125" defaultRowHeight="1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>
      <c r="A1" s="232" t="s">
        <v>66</v>
      </c>
      <c r="B1" s="233"/>
      <c r="C1" s="233"/>
      <c r="D1" s="233"/>
      <c r="E1" s="233"/>
      <c r="F1" s="233"/>
      <c r="G1" s="233"/>
      <c r="H1" s="233"/>
      <c r="I1" s="103"/>
    </row>
    <row r="2" spans="1:27">
      <c r="A2" s="122" t="s">
        <v>169</v>
      </c>
    </row>
    <row r="3" spans="1:27" s="101" customFormat="1" ht="33.75">
      <c r="A3" s="121"/>
      <c r="B3" s="100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6" t="s">
        <v>150</v>
      </c>
      <c r="K3" s="105"/>
      <c r="L3" s="102"/>
      <c r="M3" s="12" t="s">
        <v>165</v>
      </c>
      <c r="N3" s="153" t="s">
        <v>185</v>
      </c>
    </row>
    <row r="4" spans="1:27" ht="15.75">
      <c r="A4" s="12" t="s">
        <v>165</v>
      </c>
      <c r="B4" s="32" t="s">
        <v>69</v>
      </c>
      <c r="C4" s="34">
        <v>160</v>
      </c>
      <c r="D4" s="210">
        <v>28</v>
      </c>
      <c r="E4" s="159">
        <v>34935</v>
      </c>
      <c r="F4" s="17">
        <f>E4/D4</f>
        <v>1247.6785714285713</v>
      </c>
      <c r="G4" s="35">
        <v>12.43</v>
      </c>
      <c r="H4" s="27">
        <f>G4*E4/100</f>
        <v>4342.4205000000002</v>
      </c>
      <c r="J4" s="108" t="s">
        <v>154</v>
      </c>
      <c r="K4" s="123"/>
      <c r="M4" s="12" t="s">
        <v>164</v>
      </c>
      <c r="N4" s="152">
        <f t="shared" ref="N4:N38" si="0">IF(A4="oui",1,0)</f>
        <v>1</v>
      </c>
    </row>
    <row r="5" spans="1:27" ht="15.7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7"/>
      <c r="K5" s="11"/>
      <c r="N5" s="152">
        <f t="shared" si="0"/>
        <v>1</v>
      </c>
    </row>
    <row r="6" spans="1:27" ht="15.7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234" t="s">
        <v>166</v>
      </c>
      <c r="K6" s="124"/>
      <c r="N6" s="152">
        <f t="shared" si="0"/>
        <v>1</v>
      </c>
    </row>
    <row r="7" spans="1:27" ht="15.7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234"/>
      <c r="K7" s="124"/>
      <c r="N7" s="152">
        <f t="shared" si="0"/>
        <v>1</v>
      </c>
    </row>
    <row r="8" spans="1:27" ht="15.7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8" t="s">
        <v>172</v>
      </c>
      <c r="K8" s="123"/>
      <c r="N8" s="152">
        <f t="shared" si="0"/>
        <v>1</v>
      </c>
    </row>
    <row r="9" spans="1:27" ht="15.7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8" t="s">
        <v>153</v>
      </c>
      <c r="K9" s="11"/>
      <c r="N9" s="152">
        <f t="shared" si="0"/>
        <v>1</v>
      </c>
    </row>
    <row r="10" spans="1:27" ht="15.7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235" t="s">
        <v>152</v>
      </c>
      <c r="K10" s="125"/>
      <c r="N10" s="152">
        <f t="shared" si="0"/>
        <v>1</v>
      </c>
    </row>
    <row r="11" spans="1:27" ht="15.7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236"/>
      <c r="K11" s="125"/>
      <c r="N11" s="152">
        <f t="shared" si="0"/>
        <v>1</v>
      </c>
    </row>
    <row r="12" spans="1:27" ht="15.7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3"/>
      <c r="N12" s="152">
        <f t="shared" si="0"/>
        <v>1</v>
      </c>
    </row>
    <row r="13" spans="1:27" ht="15.7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6"/>
      <c r="N13" s="152">
        <f t="shared" si="0"/>
        <v>1</v>
      </c>
    </row>
    <row r="14" spans="1:27" ht="15.7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6"/>
      <c r="N14" s="152">
        <f t="shared" si="0"/>
        <v>1</v>
      </c>
    </row>
    <row r="15" spans="1:27" ht="15.7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2">
        <f t="shared" si="0"/>
        <v>1</v>
      </c>
    </row>
    <row r="16" spans="1:27" ht="15.7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J16" s="10" t="s">
        <v>228</v>
      </c>
      <c r="N16" s="152">
        <f t="shared" si="0"/>
        <v>1</v>
      </c>
      <c r="T16"/>
      <c r="U16"/>
      <c r="V16"/>
      <c r="W16"/>
      <c r="X16"/>
      <c r="Y16"/>
      <c r="Z16"/>
      <c r="AA16"/>
    </row>
    <row r="17" spans="1:27" ht="15.7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J17" s="208">
        <v>41360</v>
      </c>
      <c r="N17" s="152">
        <f t="shared" si="0"/>
        <v>1</v>
      </c>
      <c r="T17"/>
      <c r="U17"/>
      <c r="V17"/>
      <c r="W17"/>
      <c r="X17"/>
      <c r="Y17"/>
      <c r="Z17"/>
      <c r="AA17"/>
    </row>
    <row r="18" spans="1:27" ht="15.7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J18" s="10" t="s">
        <v>229</v>
      </c>
      <c r="N18" s="152">
        <f t="shared" si="0"/>
        <v>1</v>
      </c>
      <c r="T18"/>
      <c r="U18"/>
      <c r="V18"/>
      <c r="W18"/>
      <c r="X18"/>
      <c r="Y18"/>
      <c r="Z18"/>
      <c r="AA18"/>
    </row>
    <row r="19" spans="1:27" ht="15.7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J19" s="209">
        <f>J17*33/36</f>
        <v>37913.333333333336</v>
      </c>
      <c r="N19" s="152">
        <f t="shared" si="0"/>
        <v>1</v>
      </c>
      <c r="T19"/>
      <c r="U19"/>
      <c r="V19"/>
      <c r="W19"/>
      <c r="X19"/>
      <c r="Y19"/>
      <c r="Z19"/>
      <c r="AA19"/>
    </row>
    <row r="20" spans="1:27" ht="15.7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2">
        <f t="shared" si="0"/>
        <v>1</v>
      </c>
      <c r="T20"/>
      <c r="U20"/>
      <c r="V20"/>
      <c r="W20"/>
      <c r="X20"/>
      <c r="Y20"/>
      <c r="Z20"/>
      <c r="AA20"/>
    </row>
    <row r="21" spans="1:27" ht="15.7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2">
        <f t="shared" si="0"/>
        <v>1</v>
      </c>
      <c r="T21"/>
      <c r="U21"/>
      <c r="V21"/>
      <c r="W21"/>
      <c r="X21"/>
      <c r="Y21"/>
      <c r="Z21"/>
      <c r="AA21"/>
    </row>
    <row r="22" spans="1:27" ht="15.7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2">
        <f t="shared" si="0"/>
        <v>1</v>
      </c>
    </row>
    <row r="23" spans="1:27" ht="15.7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2">
        <f t="shared" si="0"/>
        <v>1</v>
      </c>
    </row>
    <row r="24" spans="1:27" ht="15.7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2">
        <f t="shared" si="0"/>
        <v>1</v>
      </c>
    </row>
    <row r="25" spans="1:27" ht="15.7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2">
        <f t="shared" si="0"/>
        <v>1</v>
      </c>
    </row>
    <row r="26" spans="1:27" ht="15.7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2">
        <f t="shared" si="0"/>
        <v>1</v>
      </c>
    </row>
    <row r="27" spans="1:27" ht="15.7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2">
        <f t="shared" si="0"/>
        <v>1</v>
      </c>
    </row>
    <row r="28" spans="1:27" ht="15.7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2">
        <f t="shared" si="0"/>
        <v>1</v>
      </c>
    </row>
    <row r="29" spans="1:27" ht="15.7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2">
        <f t="shared" si="0"/>
        <v>1</v>
      </c>
    </row>
    <row r="30" spans="1:27" ht="15.7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2">
        <f t="shared" si="0"/>
        <v>1</v>
      </c>
    </row>
    <row r="31" spans="1:27" ht="15.7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2">
        <f t="shared" si="0"/>
        <v>1</v>
      </c>
    </row>
    <row r="32" spans="1:27" ht="15.7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2">
        <f t="shared" si="0"/>
        <v>1</v>
      </c>
    </row>
    <row r="33" spans="1:14" ht="15.7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2">
        <f t="shared" si="0"/>
        <v>1</v>
      </c>
    </row>
    <row r="34" spans="1:14" ht="15.7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2">
        <f t="shared" si="0"/>
        <v>1</v>
      </c>
    </row>
    <row r="35" spans="1:14" ht="15.7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2">
        <f t="shared" si="0"/>
        <v>1</v>
      </c>
    </row>
    <row r="36" spans="1:14" ht="15.7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2">
        <f t="shared" si="0"/>
        <v>1</v>
      </c>
    </row>
    <row r="37" spans="1:14" ht="15.7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2">
        <f t="shared" si="0"/>
        <v>1</v>
      </c>
    </row>
    <row r="38" spans="1:14" ht="15.7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2">
        <f t="shared" si="0"/>
        <v>1</v>
      </c>
    </row>
    <row r="39" spans="1:14" ht="18.75">
      <c r="A39" s="140"/>
      <c r="B39" s="141"/>
      <c r="C39" s="138">
        <f>SUMPRODUCT(C4:C38,$N$4:$N$38)</f>
        <v>160</v>
      </c>
      <c r="D39" s="138">
        <f t="shared" ref="D39:E39" si="8">SUMPRODUCT(D4:D38,$N$4:$N$38)</f>
        <v>28</v>
      </c>
      <c r="E39" s="138">
        <f t="shared" si="8"/>
        <v>34935</v>
      </c>
      <c r="G39" s="139"/>
      <c r="H39" s="138">
        <f>SUMPRODUCT(H4:H38,$N$4:$N$38)</f>
        <v>4342.4205000000002</v>
      </c>
      <c r="N39" s="101"/>
    </row>
    <row r="40" spans="1:14" customFormat="1" ht="6.75" customHeight="1">
      <c r="F40" s="10"/>
      <c r="K40" s="12"/>
    </row>
    <row r="41" spans="1:14">
      <c r="B41"/>
      <c r="N41" s="101"/>
    </row>
    <row r="42" spans="1:14">
      <c r="B42"/>
      <c r="C42" s="2"/>
      <c r="D42" s="12"/>
      <c r="E42" s="12"/>
      <c r="F42" s="12"/>
      <c r="G42" s="12"/>
      <c r="H42" s="12"/>
      <c r="N42" s="101"/>
    </row>
    <row r="43" spans="1:14">
      <c r="B43"/>
      <c r="D43" s="12"/>
      <c r="E43" s="12"/>
      <c r="F43" s="12"/>
      <c r="G43" s="12"/>
      <c r="H43" s="12"/>
      <c r="N43" s="101"/>
    </row>
    <row r="44" spans="1:14">
      <c r="N44" s="101"/>
    </row>
    <row r="45" spans="1:14">
      <c r="N45" s="101"/>
    </row>
    <row r="50" spans="1:11">
      <c r="E50" s="12"/>
      <c r="F50" s="12"/>
    </row>
    <row r="52" spans="1:11">
      <c r="A52" s="20"/>
      <c r="B52" s="21"/>
    </row>
    <row r="53" spans="1:11" s="22" customFormat="1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8" priority="2" operator="equal">
      <formula>"Oui"</formula>
    </cfRule>
  </conditionalFormatting>
  <conditionalFormatting sqref="A4:A38">
    <cfRule type="cellIs" dxfId="7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zoomScale="70" zoomScaleNormal="70" workbookViewId="0">
      <selection activeCell="E47" sqref="E46:E47"/>
    </sheetView>
  </sheetViews>
  <sheetFormatPr baseColWidth="10" defaultColWidth="11.5703125" defaultRowHeight="1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>
      <c r="B1" s="237" t="s">
        <v>102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P1" s="109"/>
    </row>
    <row r="3" spans="1:29" s="18" customFormat="1" ht="32.25" customHeight="1">
      <c r="A3" s="12"/>
      <c r="C3" s="142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3" t="s">
        <v>176</v>
      </c>
      <c r="P3" s="147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>
      <c r="A4" s="12" t="str">
        <f>ENCAISSEMENTS!A4</f>
        <v>oui</v>
      </c>
      <c r="B4" s="1" t="str">
        <f>ENCAISSEMENTS!B4</f>
        <v>INSTALL 1</v>
      </c>
      <c r="C4" s="36">
        <v>43000</v>
      </c>
      <c r="D4" s="37">
        <v>900</v>
      </c>
      <c r="E4" s="34"/>
      <c r="F4" s="34"/>
      <c r="G4" s="34"/>
      <c r="H4" s="34"/>
      <c r="I4" s="34"/>
      <c r="J4" s="34"/>
      <c r="K4" s="34"/>
      <c r="L4" s="34"/>
      <c r="M4" s="28">
        <f t="shared" ref="M4:M38" si="0">SUM(C4:L4)</f>
        <v>43900</v>
      </c>
      <c r="N4" s="26"/>
      <c r="O4" s="94" t="s">
        <v>101</v>
      </c>
      <c r="P4" s="91" t="s">
        <v>177</v>
      </c>
    </row>
    <row r="5" spans="1:29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si="0"/>
        <v>0</v>
      </c>
      <c r="N5" s="26"/>
      <c r="O5" s="95"/>
      <c r="P5" s="92" t="s">
        <v>179</v>
      </c>
    </row>
    <row r="6" spans="1:29" ht="15.7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4" t="s">
        <v>53</v>
      </c>
      <c r="P6" s="91" t="s">
        <v>178</v>
      </c>
    </row>
    <row r="7" spans="1:29" ht="14.45" customHeight="1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5"/>
      <c r="P7" s="92" t="s">
        <v>107</v>
      </c>
    </row>
    <row r="8" spans="1:29" ht="15" customHeight="1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4" t="s">
        <v>54</v>
      </c>
      <c r="P8" s="91" t="s">
        <v>108</v>
      </c>
      <c r="Q8" s="12"/>
      <c r="R8" s="12"/>
    </row>
    <row r="9" spans="1:29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5"/>
      <c r="P9" s="92" t="s">
        <v>109</v>
      </c>
      <c r="Q9" s="12"/>
      <c r="R9" s="12"/>
    </row>
    <row r="10" spans="1:29" ht="15.7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4" t="s">
        <v>55</v>
      </c>
      <c r="P10" s="91" t="s">
        <v>180</v>
      </c>
      <c r="Q10" s="12"/>
      <c r="R10" s="12"/>
    </row>
    <row r="11" spans="1:29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5"/>
      <c r="P11" s="92" t="s">
        <v>110</v>
      </c>
      <c r="Q11" s="12"/>
      <c r="R11" s="12"/>
    </row>
    <row r="12" spans="1:29" ht="15.7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4" t="s">
        <v>56</v>
      </c>
      <c r="P12" s="91" t="s">
        <v>111</v>
      </c>
      <c r="Q12" s="12"/>
      <c r="R12" s="12"/>
    </row>
    <row r="13" spans="1:29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5"/>
      <c r="P13" s="92" t="s">
        <v>112</v>
      </c>
      <c r="Q13" s="12"/>
      <c r="R13" s="12"/>
    </row>
    <row r="14" spans="1:29" ht="14.45" customHeight="1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4" t="s">
        <v>57</v>
      </c>
      <c r="P14" s="91" t="s">
        <v>113</v>
      </c>
      <c r="Q14" s="12"/>
      <c r="R14" s="12"/>
    </row>
    <row r="15" spans="1:29" ht="15" customHeight="1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5"/>
      <c r="P15" s="92" t="s">
        <v>159</v>
      </c>
      <c r="Q15" s="12"/>
      <c r="R15" s="12"/>
    </row>
    <row r="16" spans="1:29" ht="15.7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4" t="s">
        <v>67</v>
      </c>
      <c r="P16" s="91" t="s">
        <v>181</v>
      </c>
      <c r="Q16" s="12"/>
      <c r="R16" s="12"/>
    </row>
    <row r="17" spans="1:18" ht="15" customHeight="1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7"/>
      <c r="P17" s="93"/>
    </row>
    <row r="18" spans="1:18" ht="15.7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4" t="s">
        <v>115</v>
      </c>
      <c r="P18" s="91" t="s">
        <v>116</v>
      </c>
    </row>
    <row r="19" spans="1:18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6"/>
      <c r="P19" s="92" t="s">
        <v>114</v>
      </c>
    </row>
    <row r="20" spans="1:18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5">
        <f t="shared" si="0"/>
        <v>0</v>
      </c>
      <c r="N38" s="26"/>
    </row>
    <row r="39" spans="1:22" ht="19.5" thickBot="1">
      <c r="A39" s="238" t="s">
        <v>167</v>
      </c>
      <c r="B39" s="239"/>
      <c r="C39" s="144">
        <f>SUMPRODUCT(C4:C38,ENCAISSEMENTS!$N$4:$N$38)</f>
        <v>43000</v>
      </c>
      <c r="D39" s="144">
        <f>SUMPRODUCT(D4:D38,ENCAISSEMENTS!$N$4:$N$38)</f>
        <v>900</v>
      </c>
      <c r="E39" s="144">
        <f>SUMPRODUCT(E4:E38,ENCAISSEMENTS!$N$4:$N$38)</f>
        <v>0</v>
      </c>
      <c r="F39" s="144">
        <f>SUMPRODUCT(F4:F38,ENCAISSEMENTS!$N$4:$N$38)</f>
        <v>0</v>
      </c>
      <c r="G39" s="144">
        <f>SUMPRODUCT(G4:G38,ENCAISSEMENTS!$N$4:$N$38)</f>
        <v>0</v>
      </c>
      <c r="H39" s="144">
        <f>SUMPRODUCT(H4:H38,ENCAISSEMENTS!$N$4:$N$38)</f>
        <v>0</v>
      </c>
      <c r="I39" s="144">
        <f>SUMPRODUCT(I4:I38,ENCAISSEMENTS!$N$4:$N$38)</f>
        <v>0</v>
      </c>
      <c r="J39" s="144">
        <f>SUMPRODUCT(J4:J38,ENCAISSEMENTS!$N$4:$N$38)</f>
        <v>0</v>
      </c>
      <c r="K39" s="144">
        <f>SUMPRODUCT(K4:K38,ENCAISSEMENTS!$N$4:$N$38)</f>
        <v>0</v>
      </c>
      <c r="L39" s="144">
        <f>SUMPRODUCT(L4:L38,ENCAISSEMENTS!$N$4:$N$38)</f>
        <v>0</v>
      </c>
      <c r="M39" s="146">
        <f>SUM(C39:L39)</f>
        <v>43900</v>
      </c>
    </row>
    <row r="42" spans="1:22" ht="26.25">
      <c r="B42" s="237" t="s">
        <v>103</v>
      </c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O42" s="143" t="s">
        <v>106</v>
      </c>
      <c r="P42" s="110"/>
    </row>
    <row r="44" spans="1:22" s="13" customFormat="1" ht="31.5">
      <c r="A44" s="12"/>
      <c r="C44" s="17" t="s">
        <v>58</v>
      </c>
      <c r="D44" s="17" t="s">
        <v>59</v>
      </c>
      <c r="E44" s="17" t="s">
        <v>60</v>
      </c>
      <c r="F44" s="104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4" t="s">
        <v>117</v>
      </c>
      <c r="P44" s="91" t="s">
        <v>122</v>
      </c>
      <c r="Q44" s="12"/>
      <c r="R44" s="12"/>
      <c r="S44" s="12"/>
      <c r="T44" s="12"/>
      <c r="U44" s="12"/>
      <c r="V44" s="12"/>
    </row>
    <row r="45" spans="1:22" ht="15.75">
      <c r="A45" s="12" t="str">
        <f>ENCAISSEMENTS!A4</f>
        <v>oui</v>
      </c>
      <c r="B45" s="1" t="str">
        <f>ENCAISSEMENTS!B4</f>
        <v>INSTALL 1</v>
      </c>
      <c r="C45" s="16">
        <v>160</v>
      </c>
      <c r="D45" s="34">
        <v>300</v>
      </c>
      <c r="E45" s="207">
        <f>Assurance!N6</f>
        <v>250.5478305</v>
      </c>
      <c r="F45" s="34">
        <f>ENCAISSEMENTS!H4*4%</f>
        <v>173.69682</v>
      </c>
      <c r="G45" s="39">
        <v>43</v>
      </c>
      <c r="H45" s="39"/>
      <c r="I45" s="39"/>
      <c r="J45" s="39"/>
      <c r="K45" s="111">
        <f>SUM(D45:J45)</f>
        <v>767.24465050000003</v>
      </c>
      <c r="O45" s="97"/>
      <c r="P45" s="93" t="s">
        <v>123</v>
      </c>
      <c r="R45" s="12"/>
    </row>
    <row r="46" spans="1:22" ht="15.7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1">
        <f t="shared" ref="K46:K79" si="1">SUM(D46:J46)</f>
        <v>0</v>
      </c>
      <c r="O46" s="94" t="s">
        <v>118</v>
      </c>
      <c r="P46" s="91" t="s">
        <v>183</v>
      </c>
      <c r="R46" s="12"/>
    </row>
    <row r="47" spans="1:22" ht="15.7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1">
        <f t="shared" si="1"/>
        <v>0</v>
      </c>
      <c r="O47" s="97"/>
      <c r="P47" s="93" t="s">
        <v>195</v>
      </c>
      <c r="R47" s="12"/>
    </row>
    <row r="48" spans="1:22" ht="15.7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1">
        <f t="shared" si="1"/>
        <v>0</v>
      </c>
      <c r="O48" s="98"/>
      <c r="P48" s="93" t="s">
        <v>196</v>
      </c>
      <c r="R48" s="12"/>
    </row>
    <row r="49" spans="1:28" ht="15.7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1">
        <f t="shared" si="1"/>
        <v>0</v>
      </c>
      <c r="O49" s="98"/>
      <c r="P49" s="93" t="s">
        <v>197</v>
      </c>
      <c r="R49" s="12"/>
    </row>
    <row r="50" spans="1:28" ht="15.7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1">
        <f t="shared" si="1"/>
        <v>0</v>
      </c>
      <c r="O50" s="98"/>
      <c r="P50" s="93" t="s">
        <v>198</v>
      </c>
      <c r="R50" s="12"/>
    </row>
    <row r="51" spans="1:28" ht="15.7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1">
        <f t="shared" si="1"/>
        <v>0</v>
      </c>
      <c r="O51" s="98"/>
      <c r="P51" s="93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1">
        <f t="shared" si="1"/>
        <v>0</v>
      </c>
      <c r="O52" s="148"/>
      <c r="P52" s="93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1">
        <f t="shared" si="1"/>
        <v>0</v>
      </c>
      <c r="O53" s="148"/>
      <c r="P53" s="93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1">
        <f t="shared" si="1"/>
        <v>0</v>
      </c>
      <c r="O54" s="148"/>
      <c r="P54" s="93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1">
        <f t="shared" si="1"/>
        <v>0</v>
      </c>
      <c r="O55" s="148"/>
      <c r="P55" s="93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1">
        <f t="shared" si="1"/>
        <v>0</v>
      </c>
      <c r="O56" s="148"/>
      <c r="P56" s="93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1">
        <f t="shared" si="1"/>
        <v>0</v>
      </c>
      <c r="O57" s="112"/>
      <c r="P57" s="92" t="s">
        <v>194</v>
      </c>
      <c r="Q57" s="12"/>
      <c r="R57" s="12"/>
    </row>
    <row r="58" spans="1:28" ht="15.7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1">
        <f t="shared" si="1"/>
        <v>0</v>
      </c>
      <c r="O58" s="99" t="s">
        <v>119</v>
      </c>
      <c r="P58" s="93" t="s">
        <v>160</v>
      </c>
      <c r="R58" s="12"/>
    </row>
    <row r="59" spans="1:28" ht="15.7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1">
        <f t="shared" si="1"/>
        <v>0</v>
      </c>
      <c r="O59" s="95"/>
      <c r="P59" s="92" t="s">
        <v>124</v>
      </c>
      <c r="Q59" s="12"/>
      <c r="R59" s="12"/>
    </row>
    <row r="60" spans="1:28" ht="15.7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1">
        <f t="shared" si="1"/>
        <v>0</v>
      </c>
      <c r="O60" s="94" t="s">
        <v>36</v>
      </c>
      <c r="P60" s="91" t="s">
        <v>125</v>
      </c>
      <c r="Q60" s="12"/>
      <c r="R60" s="12"/>
    </row>
    <row r="61" spans="1:28" ht="15.7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1">
        <f t="shared" si="1"/>
        <v>0</v>
      </c>
      <c r="O61" s="95"/>
      <c r="P61" s="92" t="s">
        <v>205</v>
      </c>
      <c r="Q61" s="12"/>
      <c r="R61" s="12"/>
    </row>
    <row r="62" spans="1:28" ht="15.7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1">
        <f t="shared" si="1"/>
        <v>0</v>
      </c>
      <c r="O62" s="94" t="s">
        <v>68</v>
      </c>
      <c r="P62" s="91" t="s">
        <v>184</v>
      </c>
      <c r="Q62" s="12"/>
      <c r="R62" s="12"/>
    </row>
    <row r="63" spans="1:28" ht="15.7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1">
        <f t="shared" si="1"/>
        <v>0</v>
      </c>
      <c r="O63" s="95"/>
      <c r="P63" s="92" t="s">
        <v>126</v>
      </c>
      <c r="Q63" s="12"/>
      <c r="R63" s="12"/>
    </row>
    <row r="64" spans="1:28" ht="15.7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1">
        <f t="shared" si="1"/>
        <v>0</v>
      </c>
      <c r="O64" s="94" t="s">
        <v>120</v>
      </c>
      <c r="P64" s="91" t="s">
        <v>127</v>
      </c>
      <c r="Q64" s="12"/>
      <c r="R64" s="12"/>
    </row>
    <row r="65" spans="1:18" ht="15.7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1">
        <f t="shared" si="1"/>
        <v>0</v>
      </c>
      <c r="O65" s="95"/>
      <c r="P65" s="92" t="s">
        <v>128</v>
      </c>
      <c r="Q65" s="12"/>
      <c r="R65" s="12"/>
    </row>
    <row r="66" spans="1:18" ht="15.7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1">
        <f t="shared" si="1"/>
        <v>0</v>
      </c>
      <c r="O66" s="94" t="s">
        <v>121</v>
      </c>
      <c r="P66" s="91" t="s">
        <v>129</v>
      </c>
      <c r="Q66" s="12"/>
      <c r="R66" s="12"/>
    </row>
    <row r="67" spans="1:18" ht="15.7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1">
        <f t="shared" si="1"/>
        <v>0</v>
      </c>
      <c r="O67" s="112"/>
      <c r="P67" s="92"/>
      <c r="Q67" s="12"/>
      <c r="R67" s="12"/>
    </row>
    <row r="68" spans="1:18" ht="15.7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1">
        <f t="shared" si="1"/>
        <v>0</v>
      </c>
      <c r="Q68" s="12"/>
      <c r="R68" s="12"/>
    </row>
    <row r="69" spans="1:18" ht="15.7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1">
        <f t="shared" si="1"/>
        <v>0</v>
      </c>
      <c r="Q69" s="12"/>
      <c r="R69" s="12"/>
    </row>
    <row r="70" spans="1:18" ht="15.7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1">
        <f t="shared" si="1"/>
        <v>0</v>
      </c>
      <c r="Q70" s="12"/>
      <c r="R70" s="12"/>
    </row>
    <row r="71" spans="1:18" ht="15.7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1">
        <f t="shared" si="1"/>
        <v>0</v>
      </c>
      <c r="Q71" s="12"/>
      <c r="R71" s="12"/>
    </row>
    <row r="72" spans="1:18" ht="15.7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1">
        <f t="shared" si="1"/>
        <v>0</v>
      </c>
      <c r="Q72" s="12"/>
      <c r="R72" s="12"/>
    </row>
    <row r="73" spans="1:18" ht="15.7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1">
        <f t="shared" si="1"/>
        <v>0</v>
      </c>
      <c r="Q73" s="12"/>
      <c r="R73" s="12"/>
    </row>
    <row r="74" spans="1:18" ht="15.7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1">
        <f t="shared" si="1"/>
        <v>0</v>
      </c>
      <c r="Q74" s="12"/>
      <c r="R74" s="12"/>
    </row>
    <row r="75" spans="1:18" ht="15.7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1">
        <f t="shared" si="1"/>
        <v>0</v>
      </c>
      <c r="Q75" s="12"/>
      <c r="R75" s="12"/>
    </row>
    <row r="76" spans="1:18" ht="15.7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1">
        <f t="shared" si="1"/>
        <v>0</v>
      </c>
      <c r="R76" s="12"/>
    </row>
    <row r="77" spans="1:18" ht="15.7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1">
        <f t="shared" si="1"/>
        <v>0</v>
      </c>
      <c r="R77" s="12"/>
    </row>
    <row r="78" spans="1:18" ht="15.7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1">
        <f t="shared" si="1"/>
        <v>0</v>
      </c>
      <c r="Q78" s="12"/>
      <c r="R78" s="12"/>
    </row>
    <row r="79" spans="1:18" ht="16.5" thickBot="1">
      <c r="A79" s="12" t="str">
        <f>ENCAISSEMENTS!A38</f>
        <v>oui</v>
      </c>
      <c r="B79" s="149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50">
        <f t="shared" si="1"/>
        <v>0</v>
      </c>
      <c r="R79" s="12"/>
    </row>
    <row r="80" spans="1:18" ht="19.5" thickBot="1">
      <c r="A80" s="238" t="s">
        <v>167</v>
      </c>
      <c r="B80" s="239"/>
      <c r="C80" s="144">
        <f>SUMPRODUCT(C45:C79,ENCAISSEMENTS!$N$4:$N$38)</f>
        <v>160</v>
      </c>
      <c r="D80" s="144">
        <f>SUMPRODUCT(D45:D79,ENCAISSEMENTS!$N$4:$N$38)</f>
        <v>300</v>
      </c>
      <c r="E80" s="144">
        <f>SUMPRODUCT(E45:E79,ENCAISSEMENTS!$N$4:$N$38)</f>
        <v>250.5478305</v>
      </c>
      <c r="F80" s="144">
        <f>SUMPRODUCT(F45:F79,ENCAISSEMENTS!$N$4:$N$38)</f>
        <v>173.69682</v>
      </c>
      <c r="G80" s="144">
        <f>SUMPRODUCT(G45:G79,ENCAISSEMENTS!$N$4:$N$38)</f>
        <v>43</v>
      </c>
      <c r="H80" s="144">
        <f>SUMPRODUCT(H45:H79,ENCAISSEMENTS!$N$4:$N$38)</f>
        <v>0</v>
      </c>
      <c r="I80" s="144">
        <f>SUMPRODUCT(I45:I79,ENCAISSEMENTS!$N$4:$N$38)</f>
        <v>0</v>
      </c>
      <c r="J80" s="144">
        <f>SUMPRODUCT(J45:J79,ENCAISSEMENTS!$N$4:$N$38)</f>
        <v>0</v>
      </c>
      <c r="K80" s="151">
        <f>SUM(D80:J80)</f>
        <v>767.24465050000003</v>
      </c>
      <c r="R80" s="12"/>
    </row>
    <row r="81" spans="2:17">
      <c r="Q81" s="95"/>
    </row>
    <row r="82" spans="2:17" ht="26.25">
      <c r="B82" s="237" t="s">
        <v>186</v>
      </c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</row>
    <row r="84" spans="2:17">
      <c r="B84" s="1" t="s">
        <v>51</v>
      </c>
      <c r="C84" s="14" t="s">
        <v>105</v>
      </c>
      <c r="D84" s="15"/>
      <c r="E84" s="33"/>
      <c r="G84" s="12" t="s">
        <v>162</v>
      </c>
    </row>
    <row r="85" spans="2:17">
      <c r="B85" s="1" t="s">
        <v>51</v>
      </c>
      <c r="C85" s="14" t="s">
        <v>39</v>
      </c>
      <c r="D85" s="15"/>
      <c r="E85" s="33"/>
      <c r="G85" s="12" t="s">
        <v>161</v>
      </c>
    </row>
    <row r="86" spans="2:17">
      <c r="B86" s="1" t="s">
        <v>52</v>
      </c>
      <c r="C86" s="14" t="s">
        <v>50</v>
      </c>
      <c r="D86" s="15"/>
      <c r="E86" s="33"/>
      <c r="G86" s="12" t="s">
        <v>163</v>
      </c>
    </row>
    <row r="87" spans="2:17">
      <c r="B87" s="1" t="s">
        <v>188</v>
      </c>
      <c r="C87" s="14" t="s">
        <v>187</v>
      </c>
      <c r="D87" s="15"/>
      <c r="E87" s="33"/>
      <c r="G87" s="12" t="s">
        <v>189</v>
      </c>
    </row>
    <row r="89" spans="2:17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6" priority="6" operator="equal">
      <formula>"oui"</formula>
    </cfRule>
  </conditionalFormatting>
  <conditionalFormatting sqref="A4">
    <cfRule type="cellIs" dxfId="5" priority="4" operator="equal">
      <formula>"Oui"</formula>
    </cfRule>
  </conditionalFormatting>
  <conditionalFormatting sqref="A4">
    <cfRule type="cellIs" dxfId="4" priority="3" operator="equal">
      <formula>"NON"</formula>
    </cfRule>
  </conditionalFormatting>
  <conditionalFormatting sqref="A5:A38">
    <cfRule type="cellIs" dxfId="3" priority="2" operator="equal">
      <formula>"Oui"</formula>
    </cfRule>
  </conditionalFormatting>
  <conditionalFormatting sqref="A5:A38">
    <cfRule type="cellIs" dxfId="2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5" fitToWidth="2" fitToHeight="2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4"/>
  <sheetViews>
    <sheetView workbookViewId="0">
      <selection activeCell="Q9" sqref="Q9"/>
    </sheetView>
  </sheetViews>
  <sheetFormatPr baseColWidth="10" defaultRowHeight="15"/>
  <cols>
    <col min="2" max="2" width="11.42578125" customWidth="1"/>
    <col min="5" max="5" width="14.85546875" customWidth="1"/>
    <col min="6" max="7" width="11.42578125" customWidth="1"/>
  </cols>
  <sheetData>
    <row r="1" spans="1:14">
      <c r="A1" s="242" t="s">
        <v>206</v>
      </c>
      <c r="B1" s="244" t="s">
        <v>207</v>
      </c>
      <c r="C1" s="246" t="s">
        <v>208</v>
      </c>
      <c r="D1" s="246" t="s">
        <v>209</v>
      </c>
      <c r="E1" s="246" t="s">
        <v>210</v>
      </c>
      <c r="F1" s="242" t="s">
        <v>211</v>
      </c>
      <c r="G1" s="248" t="s">
        <v>212</v>
      </c>
      <c r="H1" s="250" t="s">
        <v>213</v>
      </c>
      <c r="I1" s="250"/>
      <c r="J1" s="250" t="s">
        <v>214</v>
      </c>
      <c r="K1" s="250"/>
      <c r="L1" s="250" t="s">
        <v>215</v>
      </c>
      <c r="M1" s="250"/>
      <c r="N1" s="246" t="s">
        <v>216</v>
      </c>
    </row>
    <row r="2" spans="1:14">
      <c r="A2" s="243"/>
      <c r="B2" s="245"/>
      <c r="C2" s="247"/>
      <c r="D2" s="247"/>
      <c r="E2" s="247"/>
      <c r="F2" s="243"/>
      <c r="G2" s="249"/>
      <c r="H2" s="250"/>
      <c r="I2" s="250"/>
      <c r="J2" s="250"/>
      <c r="K2" s="250"/>
      <c r="L2" s="250"/>
      <c r="M2" s="250"/>
      <c r="N2" s="247"/>
    </row>
    <row r="3" spans="1:14" ht="38.25">
      <c r="A3" s="243"/>
      <c r="B3" s="245"/>
      <c r="C3" s="247"/>
      <c r="D3" s="247"/>
      <c r="E3" s="247"/>
      <c r="F3" s="243"/>
      <c r="G3" s="249"/>
      <c r="H3" s="160" t="s">
        <v>217</v>
      </c>
      <c r="I3" s="160" t="s">
        <v>218</v>
      </c>
      <c r="J3" s="161" t="s">
        <v>219</v>
      </c>
      <c r="K3" s="161" t="s">
        <v>220</v>
      </c>
      <c r="L3" s="162" t="s">
        <v>221</v>
      </c>
      <c r="M3" s="163" t="s">
        <v>222</v>
      </c>
      <c r="N3" s="247"/>
    </row>
    <row r="4" spans="1:14" ht="15.75">
      <c r="A4" s="240" t="s">
        <v>223</v>
      </c>
      <c r="B4" s="241"/>
      <c r="C4" s="241"/>
      <c r="D4" s="241"/>
      <c r="E4" s="241"/>
      <c r="F4" s="241"/>
      <c r="G4" s="164" t="s">
        <v>224</v>
      </c>
      <c r="H4" s="165">
        <f>IF(G4="Oui",66.83,0)</f>
        <v>66.83</v>
      </c>
      <c r="I4" s="165">
        <f>IF(G4="Oui",72.84,0)</f>
        <v>72.84</v>
      </c>
      <c r="J4" s="166"/>
      <c r="K4" s="166"/>
      <c r="L4" s="166"/>
      <c r="M4" s="167"/>
      <c r="N4" s="168"/>
    </row>
    <row r="5" spans="1:14">
      <c r="A5" s="169" t="s">
        <v>225</v>
      </c>
      <c r="B5" s="169" t="s">
        <v>226</v>
      </c>
      <c r="C5" s="170"/>
      <c r="D5" s="171" t="s">
        <v>227</v>
      </c>
      <c r="E5" s="172">
        <f>SUM(E6:E146)</f>
        <v>43900</v>
      </c>
      <c r="F5" s="172">
        <f>SUM(F6:F146)</f>
        <v>4342.4205000000002</v>
      </c>
      <c r="G5" s="173">
        <f>SUM(G6:G146)</f>
        <v>28</v>
      </c>
      <c r="H5" s="174">
        <f>SUM(H6:H146)+H4</f>
        <v>131.9663075</v>
      </c>
      <c r="I5" s="174">
        <f>SUM(I6:I146)+I4</f>
        <v>143.83857517500002</v>
      </c>
      <c r="J5" s="174">
        <f>IF(E5&lt;120000,SUM(J6:J146),IF(AND(E5&gt;120000,E5&lt;250000),SUM(J6:J146)*0.85,SUM(J6:J146)*0.75))</f>
        <v>141.797</v>
      </c>
      <c r="K5" s="174">
        <f>IF(E5&lt;120000,SUM(K6:K146),IF(AND(E5&gt;120000,E5&lt;250000),SUM(K6:K146)*0.85,SUM(K6:K146)*0.75))</f>
        <v>159.357</v>
      </c>
      <c r="L5" s="175">
        <f>IF(SUM(L6:L146)&lt;50,50,SUM(L6:L146))</f>
        <v>50</v>
      </c>
      <c r="M5" s="176">
        <f>IF(SUM(M6:M146)&lt;56.18,56.18,SUM(M6:M146))</f>
        <v>56.18</v>
      </c>
      <c r="N5" s="177"/>
    </row>
    <row r="6" spans="1:14">
      <c r="A6" s="178"/>
      <c r="B6" s="179"/>
      <c r="C6" s="180">
        <f ca="1">TODAY()</f>
        <v>45081</v>
      </c>
      <c r="D6" s="181">
        <f ca="1">C6+15</f>
        <v>45096</v>
      </c>
      <c r="E6" s="182">
        <f>DECAISSEMENTS!M4</f>
        <v>43900</v>
      </c>
      <c r="F6" s="183">
        <f>ENCAISSEMENTS!H4</f>
        <v>4342.4205000000002</v>
      </c>
      <c r="G6" s="184">
        <f>ENCAISSEMENTS!D4</f>
        <v>28</v>
      </c>
      <c r="H6" s="185">
        <f t="shared" ref="H6:H24" si="0">IF(AND(F6*15/1000&lt;30,F6&lt;&gt;""),30,F6*15/1000)</f>
        <v>65.136307500000001</v>
      </c>
      <c r="I6" s="186">
        <f t="shared" ref="I6:I24" si="1">(H6*9/100)+H6</f>
        <v>70.998575174999999</v>
      </c>
      <c r="J6" s="186">
        <f t="shared" ref="J6:J24" si="2">E6*3.23/1000</f>
        <v>141.797</v>
      </c>
      <c r="K6" s="186">
        <f t="shared" ref="K6:K24" si="3">E6*3.63/1000</f>
        <v>159.357</v>
      </c>
      <c r="L6" s="187">
        <f t="shared" ref="L6:L24" si="4">F6*4.14/1000</f>
        <v>17.977620869999999</v>
      </c>
      <c r="M6" s="187">
        <f t="shared" ref="M6:M24" si="5">F6*4.65/1000</f>
        <v>20.192255325000001</v>
      </c>
      <c r="N6" s="188">
        <f>I6+K6+M6</f>
        <v>250.5478305</v>
      </c>
    </row>
    <row r="7" spans="1:14">
      <c r="A7" s="189"/>
      <c r="B7" s="179"/>
      <c r="C7" s="190"/>
      <c r="D7" s="181"/>
      <c r="E7" s="182"/>
      <c r="F7" s="183"/>
      <c r="G7" s="184"/>
      <c r="H7" s="185">
        <f t="shared" si="0"/>
        <v>0</v>
      </c>
      <c r="I7" s="186">
        <f t="shared" si="1"/>
        <v>0</v>
      </c>
      <c r="J7" s="186">
        <f t="shared" si="2"/>
        <v>0</v>
      </c>
      <c r="K7" s="186">
        <f t="shared" si="3"/>
        <v>0</v>
      </c>
      <c r="L7" s="187">
        <f t="shared" si="4"/>
        <v>0</v>
      </c>
      <c r="M7" s="187">
        <f t="shared" si="5"/>
        <v>0</v>
      </c>
      <c r="N7" s="188">
        <f t="shared" ref="N7:N23" si="6">I7+K7+M7</f>
        <v>0</v>
      </c>
    </row>
    <row r="8" spans="1:14">
      <c r="A8" s="178"/>
      <c r="B8" s="191"/>
      <c r="C8" s="192"/>
      <c r="D8" s="181"/>
      <c r="E8" s="193"/>
      <c r="F8" s="183"/>
      <c r="G8" s="184"/>
      <c r="H8" s="185">
        <f t="shared" si="0"/>
        <v>0</v>
      </c>
      <c r="I8" s="186">
        <f t="shared" si="1"/>
        <v>0</v>
      </c>
      <c r="J8" s="186">
        <f t="shared" si="2"/>
        <v>0</v>
      </c>
      <c r="K8" s="186">
        <f t="shared" si="3"/>
        <v>0</v>
      </c>
      <c r="L8" s="187">
        <f t="shared" si="4"/>
        <v>0</v>
      </c>
      <c r="M8" s="187">
        <f t="shared" si="5"/>
        <v>0</v>
      </c>
      <c r="N8" s="188">
        <f t="shared" si="6"/>
        <v>0</v>
      </c>
    </row>
    <row r="9" spans="1:14">
      <c r="A9" s="178"/>
      <c r="B9" s="179"/>
      <c r="C9" s="180"/>
      <c r="D9" s="181"/>
      <c r="E9" s="182"/>
      <c r="F9" s="183"/>
      <c r="G9" s="184"/>
      <c r="H9" s="185">
        <f t="shared" si="0"/>
        <v>0</v>
      </c>
      <c r="I9" s="186">
        <f t="shared" si="1"/>
        <v>0</v>
      </c>
      <c r="J9" s="186">
        <f t="shared" si="2"/>
        <v>0</v>
      </c>
      <c r="K9" s="186">
        <f t="shared" si="3"/>
        <v>0</v>
      </c>
      <c r="L9" s="187">
        <f t="shared" si="4"/>
        <v>0</v>
      </c>
      <c r="M9" s="187">
        <f t="shared" si="5"/>
        <v>0</v>
      </c>
      <c r="N9" s="188">
        <f t="shared" si="6"/>
        <v>0</v>
      </c>
    </row>
    <row r="10" spans="1:14">
      <c r="A10" s="178"/>
      <c r="B10" s="179"/>
      <c r="C10" s="180"/>
      <c r="D10" s="181"/>
      <c r="E10" s="182"/>
      <c r="F10" s="183"/>
      <c r="G10" s="184"/>
      <c r="H10" s="185">
        <f t="shared" si="0"/>
        <v>0</v>
      </c>
      <c r="I10" s="186">
        <f t="shared" si="1"/>
        <v>0</v>
      </c>
      <c r="J10" s="186">
        <f t="shared" si="2"/>
        <v>0</v>
      </c>
      <c r="K10" s="186">
        <f t="shared" si="3"/>
        <v>0</v>
      </c>
      <c r="L10" s="187">
        <f t="shared" si="4"/>
        <v>0</v>
      </c>
      <c r="M10" s="187">
        <f t="shared" si="5"/>
        <v>0</v>
      </c>
      <c r="N10" s="188">
        <f t="shared" si="6"/>
        <v>0</v>
      </c>
    </row>
    <row r="11" spans="1:14">
      <c r="A11" s="178"/>
      <c r="B11" s="179"/>
      <c r="C11" s="180"/>
      <c r="D11" s="181"/>
      <c r="E11" s="182"/>
      <c r="F11" s="183"/>
      <c r="G11" s="184"/>
      <c r="H11" s="185">
        <f t="shared" si="0"/>
        <v>0</v>
      </c>
      <c r="I11" s="186">
        <f t="shared" si="1"/>
        <v>0</v>
      </c>
      <c r="J11" s="186">
        <f t="shared" si="2"/>
        <v>0</v>
      </c>
      <c r="K11" s="186">
        <f t="shared" si="3"/>
        <v>0</v>
      </c>
      <c r="L11" s="187">
        <f t="shared" si="4"/>
        <v>0</v>
      </c>
      <c r="M11" s="187">
        <f t="shared" si="5"/>
        <v>0</v>
      </c>
      <c r="N11" s="188">
        <f t="shared" si="6"/>
        <v>0</v>
      </c>
    </row>
    <row r="12" spans="1:14">
      <c r="A12" s="178"/>
      <c r="B12" s="179"/>
      <c r="C12" s="190"/>
      <c r="D12" s="181"/>
      <c r="E12" s="182"/>
      <c r="F12" s="183"/>
      <c r="G12" s="184"/>
      <c r="H12" s="185">
        <f t="shared" si="0"/>
        <v>0</v>
      </c>
      <c r="I12" s="186">
        <f t="shared" si="1"/>
        <v>0</v>
      </c>
      <c r="J12" s="186">
        <f t="shared" si="2"/>
        <v>0</v>
      </c>
      <c r="K12" s="186">
        <f t="shared" si="3"/>
        <v>0</v>
      </c>
      <c r="L12" s="187">
        <f t="shared" si="4"/>
        <v>0</v>
      </c>
      <c r="M12" s="187">
        <f t="shared" si="5"/>
        <v>0</v>
      </c>
      <c r="N12" s="188">
        <f t="shared" si="6"/>
        <v>0</v>
      </c>
    </row>
    <row r="13" spans="1:14">
      <c r="A13" s="178"/>
      <c r="B13" s="194"/>
      <c r="C13" s="190"/>
      <c r="D13" s="181"/>
      <c r="E13" s="195"/>
      <c r="F13" s="183"/>
      <c r="G13" s="184"/>
      <c r="H13" s="185">
        <f t="shared" si="0"/>
        <v>0</v>
      </c>
      <c r="I13" s="186">
        <f t="shared" si="1"/>
        <v>0</v>
      </c>
      <c r="J13" s="186">
        <f t="shared" si="2"/>
        <v>0</v>
      </c>
      <c r="K13" s="186">
        <f t="shared" si="3"/>
        <v>0</v>
      </c>
      <c r="L13" s="187">
        <f t="shared" si="4"/>
        <v>0</v>
      </c>
      <c r="M13" s="187">
        <f t="shared" si="5"/>
        <v>0</v>
      </c>
      <c r="N13" s="188">
        <f t="shared" si="6"/>
        <v>0</v>
      </c>
    </row>
    <row r="14" spans="1:14">
      <c r="A14" s="178"/>
      <c r="B14" s="196"/>
      <c r="C14" s="190"/>
      <c r="D14" s="181"/>
      <c r="E14" s="195"/>
      <c r="F14" s="183"/>
      <c r="G14" s="184"/>
      <c r="H14" s="185">
        <f t="shared" si="0"/>
        <v>0</v>
      </c>
      <c r="I14" s="186">
        <f t="shared" si="1"/>
        <v>0</v>
      </c>
      <c r="J14" s="186">
        <f t="shared" si="2"/>
        <v>0</v>
      </c>
      <c r="K14" s="186">
        <f t="shared" si="3"/>
        <v>0</v>
      </c>
      <c r="L14" s="187">
        <f t="shared" si="4"/>
        <v>0</v>
      </c>
      <c r="M14" s="187">
        <f t="shared" si="5"/>
        <v>0</v>
      </c>
      <c r="N14" s="188">
        <f t="shared" si="6"/>
        <v>0</v>
      </c>
    </row>
    <row r="15" spans="1:14">
      <c r="A15" s="178"/>
      <c r="B15" s="196"/>
      <c r="C15" s="190"/>
      <c r="D15" s="181"/>
      <c r="E15" s="195"/>
      <c r="F15" s="183"/>
      <c r="G15" s="184"/>
      <c r="H15" s="185">
        <f t="shared" si="0"/>
        <v>0</v>
      </c>
      <c r="I15" s="186">
        <f t="shared" si="1"/>
        <v>0</v>
      </c>
      <c r="J15" s="186">
        <f t="shared" si="2"/>
        <v>0</v>
      </c>
      <c r="K15" s="186">
        <f t="shared" si="3"/>
        <v>0</v>
      </c>
      <c r="L15" s="187">
        <f t="shared" si="4"/>
        <v>0</v>
      </c>
      <c r="M15" s="187">
        <f t="shared" si="5"/>
        <v>0</v>
      </c>
      <c r="N15" s="188">
        <f t="shared" si="6"/>
        <v>0</v>
      </c>
    </row>
    <row r="16" spans="1:14">
      <c r="A16" s="178"/>
      <c r="B16" s="178"/>
      <c r="C16" s="190"/>
      <c r="D16" s="181"/>
      <c r="E16" s="195"/>
      <c r="F16" s="183"/>
      <c r="G16" s="184"/>
      <c r="H16" s="185">
        <f t="shared" si="0"/>
        <v>0</v>
      </c>
      <c r="I16" s="186">
        <f t="shared" si="1"/>
        <v>0</v>
      </c>
      <c r="J16" s="186">
        <f t="shared" si="2"/>
        <v>0</v>
      </c>
      <c r="K16" s="186">
        <f t="shared" si="3"/>
        <v>0</v>
      </c>
      <c r="L16" s="187">
        <f t="shared" si="4"/>
        <v>0</v>
      </c>
      <c r="M16" s="187">
        <f t="shared" si="5"/>
        <v>0</v>
      </c>
      <c r="N16" s="188">
        <f t="shared" si="6"/>
        <v>0</v>
      </c>
    </row>
    <row r="17" spans="1:14">
      <c r="A17" s="178"/>
      <c r="B17" s="178"/>
      <c r="C17" s="190"/>
      <c r="D17" s="181"/>
      <c r="E17" s="195"/>
      <c r="F17" s="183"/>
      <c r="G17" s="184"/>
      <c r="H17" s="185">
        <f t="shared" si="0"/>
        <v>0</v>
      </c>
      <c r="I17" s="186">
        <f t="shared" si="1"/>
        <v>0</v>
      </c>
      <c r="J17" s="186">
        <f t="shared" si="2"/>
        <v>0</v>
      </c>
      <c r="K17" s="186">
        <f t="shared" si="3"/>
        <v>0</v>
      </c>
      <c r="L17" s="187">
        <f t="shared" si="4"/>
        <v>0</v>
      </c>
      <c r="M17" s="187">
        <f t="shared" si="5"/>
        <v>0</v>
      </c>
      <c r="N17" s="188">
        <f t="shared" si="6"/>
        <v>0</v>
      </c>
    </row>
    <row r="18" spans="1:14">
      <c r="A18" s="178"/>
      <c r="B18" s="178"/>
      <c r="C18" s="190"/>
      <c r="D18" s="181"/>
      <c r="E18" s="195"/>
      <c r="F18" s="183"/>
      <c r="G18" s="184"/>
      <c r="H18" s="185">
        <f t="shared" si="0"/>
        <v>0</v>
      </c>
      <c r="I18" s="186">
        <f t="shared" si="1"/>
        <v>0</v>
      </c>
      <c r="J18" s="186">
        <f t="shared" si="2"/>
        <v>0</v>
      </c>
      <c r="K18" s="186">
        <f t="shared" si="3"/>
        <v>0</v>
      </c>
      <c r="L18" s="187">
        <f t="shared" si="4"/>
        <v>0</v>
      </c>
      <c r="M18" s="187">
        <f t="shared" si="5"/>
        <v>0</v>
      </c>
      <c r="N18" s="188">
        <f t="shared" si="6"/>
        <v>0</v>
      </c>
    </row>
    <row r="19" spans="1:14">
      <c r="A19" s="197"/>
      <c r="B19" s="198"/>
      <c r="C19" s="199"/>
      <c r="D19" s="200"/>
      <c r="E19" s="201"/>
      <c r="F19" s="27"/>
      <c r="G19" s="202"/>
      <c r="H19" s="185">
        <f>IF(AND(F19*15/1000&lt;30,F19&lt;&gt;""),30,F19*15/1000)</f>
        <v>0</v>
      </c>
      <c r="I19" s="186">
        <f t="shared" si="1"/>
        <v>0</v>
      </c>
      <c r="J19" s="186">
        <f t="shared" si="2"/>
        <v>0</v>
      </c>
      <c r="K19" s="186">
        <f t="shared" si="3"/>
        <v>0</v>
      </c>
      <c r="L19" s="187">
        <f t="shared" si="4"/>
        <v>0</v>
      </c>
      <c r="M19" s="187">
        <f t="shared" si="5"/>
        <v>0</v>
      </c>
      <c r="N19" s="188">
        <f t="shared" si="6"/>
        <v>0</v>
      </c>
    </row>
    <row r="20" spans="1:14">
      <c r="A20" s="198"/>
      <c r="B20" s="198"/>
      <c r="C20" s="200"/>
      <c r="D20" s="203"/>
      <c r="E20" s="201"/>
      <c r="F20" s="27"/>
      <c r="G20" s="202"/>
      <c r="H20" s="185">
        <f>IF(AND(F20*15/1000&lt;30,F20&lt;&gt;""),30,F20*15/1000)</f>
        <v>0</v>
      </c>
      <c r="I20" s="186">
        <f t="shared" si="1"/>
        <v>0</v>
      </c>
      <c r="J20" s="186">
        <f t="shared" si="2"/>
        <v>0</v>
      </c>
      <c r="K20" s="186">
        <f t="shared" si="3"/>
        <v>0</v>
      </c>
      <c r="L20" s="187">
        <f t="shared" si="4"/>
        <v>0</v>
      </c>
      <c r="M20" s="187">
        <f t="shared" si="5"/>
        <v>0</v>
      </c>
      <c r="N20" s="188">
        <f t="shared" si="6"/>
        <v>0</v>
      </c>
    </row>
    <row r="21" spans="1:14">
      <c r="A21" s="198"/>
      <c r="B21" s="198"/>
      <c r="C21" s="200"/>
      <c r="D21" s="203"/>
      <c r="E21" s="204"/>
      <c r="F21" s="205"/>
      <c r="G21" s="205"/>
      <c r="H21" s="185">
        <f t="shared" si="0"/>
        <v>0</v>
      </c>
      <c r="I21" s="186">
        <f t="shared" si="1"/>
        <v>0</v>
      </c>
      <c r="J21" s="186">
        <f t="shared" si="2"/>
        <v>0</v>
      </c>
      <c r="K21" s="186">
        <f t="shared" si="3"/>
        <v>0</v>
      </c>
      <c r="L21" s="187">
        <f t="shared" si="4"/>
        <v>0</v>
      </c>
      <c r="M21" s="187">
        <f t="shared" si="5"/>
        <v>0</v>
      </c>
      <c r="N21" s="188">
        <f t="shared" si="6"/>
        <v>0</v>
      </c>
    </row>
    <row r="22" spans="1:14">
      <c r="A22" s="198"/>
      <c r="B22" s="198"/>
      <c r="C22" s="200"/>
      <c r="D22" s="203"/>
      <c r="E22" s="204"/>
      <c r="F22" s="205"/>
      <c r="G22" s="205"/>
      <c r="H22" s="185">
        <f t="shared" si="0"/>
        <v>0</v>
      </c>
      <c r="I22" s="186">
        <f t="shared" si="1"/>
        <v>0</v>
      </c>
      <c r="J22" s="186">
        <f t="shared" si="2"/>
        <v>0</v>
      </c>
      <c r="K22" s="186">
        <f t="shared" si="3"/>
        <v>0</v>
      </c>
      <c r="L22" s="187">
        <f t="shared" si="4"/>
        <v>0</v>
      </c>
      <c r="M22" s="187">
        <f t="shared" si="5"/>
        <v>0</v>
      </c>
      <c r="N22" s="188">
        <f t="shared" si="6"/>
        <v>0</v>
      </c>
    </row>
    <row r="23" spans="1:14">
      <c r="A23" s="198"/>
      <c r="B23" s="198"/>
      <c r="C23" s="200"/>
      <c r="D23" s="203"/>
      <c r="E23" s="204"/>
      <c r="F23" s="205"/>
      <c r="G23" s="205"/>
      <c r="H23" s="185">
        <f t="shared" si="0"/>
        <v>0</v>
      </c>
      <c r="I23" s="186">
        <f t="shared" si="1"/>
        <v>0</v>
      </c>
      <c r="J23" s="186">
        <f t="shared" si="2"/>
        <v>0</v>
      </c>
      <c r="K23" s="186">
        <f t="shared" si="3"/>
        <v>0</v>
      </c>
      <c r="L23" s="187">
        <f t="shared" si="4"/>
        <v>0</v>
      </c>
      <c r="M23" s="187">
        <f t="shared" si="5"/>
        <v>0</v>
      </c>
      <c r="N23" s="188">
        <f t="shared" si="6"/>
        <v>0</v>
      </c>
    </row>
    <row r="24" spans="1:14">
      <c r="A24" s="198"/>
      <c r="B24" s="198"/>
      <c r="C24" s="200"/>
      <c r="D24" s="203"/>
      <c r="E24" s="204"/>
      <c r="F24" s="205"/>
      <c r="G24" s="205"/>
      <c r="H24" s="185">
        <f t="shared" si="0"/>
        <v>0</v>
      </c>
      <c r="I24" s="186">
        <f t="shared" si="1"/>
        <v>0</v>
      </c>
      <c r="J24" s="186">
        <f t="shared" si="2"/>
        <v>0</v>
      </c>
      <c r="K24" s="186">
        <f t="shared" si="3"/>
        <v>0</v>
      </c>
      <c r="L24" s="187">
        <f t="shared" si="4"/>
        <v>0</v>
      </c>
      <c r="M24" s="187">
        <f t="shared" si="5"/>
        <v>0</v>
      </c>
      <c r="N24" s="206"/>
    </row>
  </sheetData>
  <mergeCells count="12">
    <mergeCell ref="G1:G3"/>
    <mergeCell ref="H1:I2"/>
    <mergeCell ref="J1:K2"/>
    <mergeCell ref="L1:M2"/>
    <mergeCell ref="N1:N3"/>
    <mergeCell ref="A4:F4"/>
    <mergeCell ref="A1:A3"/>
    <mergeCell ref="B1:B3"/>
    <mergeCell ref="C1:C3"/>
    <mergeCell ref="D1:D3"/>
    <mergeCell ref="E1:E3"/>
    <mergeCell ref="F1:F3"/>
  </mergeCells>
  <conditionalFormatting sqref="G1">
    <cfRule type="expression" dxfId="1" priority="3">
      <formula>$E$14&lt;120000</formula>
    </cfRule>
    <cfRule type="expression" priority="4">
      <formula>$E$14&gt;249999</formula>
    </cfRule>
  </conditionalFormatting>
  <conditionalFormatting sqref="H4:I4">
    <cfRule type="cellIs" dxfId="0" priority="2" operator="equal">
      <formula>0</formula>
    </cfRule>
  </conditionalFormatting>
  <conditionalFormatting sqref="F19:F20">
    <cfRule type="dataBar" priority="1">
      <dataBar>
        <cfvo type="min"/>
        <cfvo type="max"/>
        <color rgb="FF008AEF"/>
      </dataBar>
    </cfRule>
  </conditionalFormatting>
  <dataValidations count="2">
    <dataValidation type="list" allowBlank="1" showInputMessage="1" showErrorMessage="1" sqref="G4">
      <formula1>"Oui,Non"</formula1>
    </dataValidation>
    <dataValidation type="list" allowBlank="1" showInputMessage="1" sqref="E7:E24">
      <formula1>"16500,50000,120000"</formula1>
      <formula2>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SIG</vt:lpstr>
      <vt:lpstr>ENCAISSEMENTS</vt:lpstr>
      <vt:lpstr>DECAISSEMENTS</vt:lpstr>
      <vt:lpstr>Assurance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2022-04-12T15:58:03Z</cp:lastPrinted>
  <dcterms:created xsi:type="dcterms:W3CDTF">2012-12-14T09:34:10Z</dcterms:created>
  <dcterms:modified xsi:type="dcterms:W3CDTF">2023-06-04T12:56:38Z</dcterms:modified>
</cp:coreProperties>
</file>