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rojets\Ombrière\"/>
    </mc:Choice>
  </mc:AlternateContent>
  <bookViews>
    <workbookView xWindow="0" yWindow="0" windowWidth="14715" windowHeight="9585"/>
  </bookViews>
  <sheets>
    <sheet name="Vente totale" sheetId="1" r:id="rId1"/>
    <sheet name="Emprun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 a="1"/>
  <c r="C23" i="1" s="1"/>
  <c r="C24" i="1"/>
  <c r="D24" i="1"/>
  <c r="E24" i="1" s="1"/>
  <c r="C25" i="1"/>
  <c r="D25" i="1"/>
  <c r="D28" i="1" s="1"/>
  <c r="D29" i="1" s="1"/>
  <c r="D31" i="1" s="1"/>
  <c r="D34" i="1" s="1"/>
  <c r="C26" i="1"/>
  <c r="C28" i="1" s="1"/>
  <c r="C29" i="1" s="1"/>
  <c r="C31" i="1" s="1"/>
  <c r="C34" i="1" s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C32" i="1"/>
  <c r="D32" i="1"/>
  <c r="E32" i="1"/>
  <c r="F32" i="1"/>
  <c r="G32" i="1"/>
  <c r="H32" i="1"/>
  <c r="I32" i="1"/>
  <c r="J32" i="1"/>
  <c r="K32" i="1"/>
  <c r="L32" i="1"/>
  <c r="N27" i="1"/>
  <c r="M32" i="1"/>
  <c r="N32" i="1"/>
  <c r="E6" i="2"/>
  <c r="B2" i="2"/>
  <c r="E12" i="2"/>
  <c r="E13" i="2"/>
  <c r="B6" i="2"/>
  <c r="E14" i="2" s="1"/>
  <c r="I23" i="1" l="1"/>
  <c r="H23" i="1"/>
  <c r="D23" i="1"/>
  <c r="J23" i="1"/>
  <c r="G23" i="1"/>
  <c r="N23" i="1"/>
  <c r="F23" i="1"/>
  <c r="M23" i="1"/>
  <c r="E23" i="1"/>
  <c r="L23" i="1"/>
  <c r="K23" i="1"/>
  <c r="F24" i="1"/>
  <c r="E25" i="1"/>
  <c r="F25" i="1" s="1"/>
  <c r="G25" i="1" s="1"/>
  <c r="H25" i="1" s="1"/>
  <c r="I25" i="1" s="1"/>
  <c r="J25" i="1" s="1"/>
  <c r="K25" i="1" s="1"/>
  <c r="L25" i="1" s="1"/>
  <c r="M25" i="1" s="1"/>
  <c r="N25" i="1" s="1"/>
  <c r="E11" i="2"/>
  <c r="E10" i="2"/>
  <c r="E8" i="2"/>
  <c r="D6" i="2"/>
  <c r="B7" i="2" s="1"/>
  <c r="E15" i="2"/>
  <c r="C6" i="2"/>
  <c r="E7" i="2"/>
  <c r="E9" i="2"/>
  <c r="F28" i="1" l="1"/>
  <c r="F29" i="1" s="1"/>
  <c r="F31" i="1" s="1"/>
  <c r="F34" i="1" s="1"/>
  <c r="G24" i="1"/>
  <c r="E28" i="1"/>
  <c r="E29" i="1" s="1"/>
  <c r="E31" i="1" s="1"/>
  <c r="E34" i="1" s="1"/>
  <c r="C7" i="2"/>
  <c r="D7" i="2"/>
  <c r="B8" i="2" s="1"/>
  <c r="C8" i="2" s="1"/>
  <c r="D8" i="2" s="1"/>
  <c r="B9" i="2" s="1"/>
  <c r="C9" i="2" s="1"/>
  <c r="D9" i="2" s="1"/>
  <c r="B10" i="2" s="1"/>
  <c r="G28" i="1" l="1"/>
  <c r="G29" i="1" s="1"/>
  <c r="G31" i="1" s="1"/>
  <c r="G34" i="1" s="1"/>
  <c r="H24" i="1"/>
  <c r="C10" i="2"/>
  <c r="D10" i="2" s="1"/>
  <c r="B11" i="2"/>
  <c r="C11" i="2"/>
  <c r="D11" i="2" s="1"/>
  <c r="B12" i="2" s="1"/>
  <c r="I24" i="1" l="1"/>
  <c r="H28" i="1"/>
  <c r="H29" i="1" s="1"/>
  <c r="H31" i="1" s="1"/>
  <c r="H34" i="1" s="1"/>
  <c r="C12" i="2"/>
  <c r="D12" i="2" s="1"/>
  <c r="B13" i="2" s="1"/>
  <c r="J24" i="1" l="1"/>
  <c r="I28" i="1"/>
  <c r="I29" i="1" s="1"/>
  <c r="I31" i="1" s="1"/>
  <c r="I34" i="1" s="1"/>
  <c r="C13" i="2"/>
  <c r="D13" i="2" s="1"/>
  <c r="B14" i="2" s="1"/>
  <c r="K24" i="1" l="1"/>
  <c r="J28" i="1"/>
  <c r="J29" i="1" s="1"/>
  <c r="J31" i="1" s="1"/>
  <c r="J34" i="1" s="1"/>
  <c r="C14" i="2"/>
  <c r="D14" i="2" s="1"/>
  <c r="B15" i="2"/>
  <c r="C15" i="2" s="1"/>
  <c r="D15" i="2" s="1"/>
  <c r="K28" i="1" l="1"/>
  <c r="K29" i="1" s="1"/>
  <c r="K31" i="1" s="1"/>
  <c r="K34" i="1" s="1"/>
  <c r="L24" i="1"/>
  <c r="L28" i="1" s="1"/>
  <c r="L29" i="1" s="1"/>
  <c r="L31" i="1" s="1"/>
  <c r="L34" i="1" s="1"/>
  <c r="M24" i="1" l="1"/>
  <c r="M28" i="1" l="1"/>
  <c r="M29" i="1" s="1"/>
  <c r="M31" i="1" s="1"/>
  <c r="M34" i="1" s="1"/>
  <c r="N24" i="1"/>
  <c r="N28" i="1" s="1"/>
  <c r="N29" i="1" s="1"/>
  <c r="N31" i="1" s="1"/>
  <c r="N34" i="1" s="1"/>
  <c r="B18" i="1" l="1"/>
  <c r="T8" i="1" l="1"/>
  <c r="B42" i="1"/>
  <c r="B40" i="1"/>
  <c r="C21" i="1" l="1"/>
  <c r="B15" i="1" l="1"/>
  <c r="T32" i="1" l="1"/>
  <c r="V32" i="1"/>
  <c r="S32" i="1"/>
  <c r="R32" i="1"/>
  <c r="Q32" i="1"/>
  <c r="U32" i="1"/>
  <c r="P32" i="1"/>
  <c r="O32" i="1"/>
  <c r="O26" i="1" l="1"/>
  <c r="P26" i="1" s="1"/>
  <c r="Q26" i="1" s="1"/>
  <c r="R26" i="1" s="1"/>
  <c r="S26" i="1" s="1"/>
  <c r="T26" i="1" s="1"/>
  <c r="U26" i="1" s="1"/>
  <c r="V26" i="1" s="1"/>
  <c r="O25" i="1"/>
  <c r="P25" i="1" s="1"/>
  <c r="Q25" i="1" s="1"/>
  <c r="R25" i="1" s="1"/>
  <c r="S25" i="1" s="1"/>
  <c r="T25" i="1" s="1"/>
  <c r="U25" i="1" s="1"/>
  <c r="V25" i="1" s="1"/>
  <c r="C22" i="1" l="1"/>
  <c r="D21" i="1"/>
  <c r="C36" i="1" l="1"/>
  <c r="C38" i="1" s="1"/>
  <c r="E21" i="1"/>
  <c r="D22" i="1"/>
  <c r="C39" i="1" l="1"/>
  <c r="C41" i="1" s="1"/>
  <c r="C42" i="1" s="1"/>
  <c r="D36" i="1"/>
  <c r="D38" i="1" s="1"/>
  <c r="D39" i="1" s="1"/>
  <c r="F21" i="1"/>
  <c r="E22" i="1"/>
  <c r="C40" i="1" l="1"/>
  <c r="E36" i="1"/>
  <c r="E38" i="1" s="1"/>
  <c r="D41" i="1"/>
  <c r="D42" i="1" s="1"/>
  <c r="D40" i="1"/>
  <c r="G21" i="1"/>
  <c r="F22" i="1"/>
  <c r="E39" i="1" l="1"/>
  <c r="E40" i="1" s="1"/>
  <c r="F36" i="1"/>
  <c r="F38" i="1" s="1"/>
  <c r="F39" i="1" s="1"/>
  <c r="H21" i="1"/>
  <c r="G22" i="1"/>
  <c r="E41" i="1" l="1"/>
  <c r="E42" i="1" s="1"/>
  <c r="F40" i="1"/>
  <c r="F41" i="1"/>
  <c r="G36" i="1"/>
  <c r="G38" i="1" s="1"/>
  <c r="G39" i="1" s="1"/>
  <c r="I21" i="1"/>
  <c r="H22" i="1"/>
  <c r="F42" i="1" l="1"/>
  <c r="H36" i="1"/>
  <c r="H38" i="1" s="1"/>
  <c r="H39" i="1" s="1"/>
  <c r="G40" i="1"/>
  <c r="G41" i="1"/>
  <c r="G42" i="1" s="1"/>
  <c r="J21" i="1"/>
  <c r="I22" i="1"/>
  <c r="H40" i="1" l="1"/>
  <c r="H41" i="1"/>
  <c r="H42" i="1" s="1"/>
  <c r="I36" i="1"/>
  <c r="I38" i="1" s="1"/>
  <c r="K21" i="1"/>
  <c r="J22" i="1"/>
  <c r="I39" i="1" l="1"/>
  <c r="J36" i="1"/>
  <c r="J38" i="1" s="1"/>
  <c r="J39" i="1" s="1"/>
  <c r="I40" i="1"/>
  <c r="I41" i="1"/>
  <c r="I42" i="1" s="1"/>
  <c r="L21" i="1"/>
  <c r="K22" i="1"/>
  <c r="J41" i="1" l="1"/>
  <c r="J42" i="1" s="1"/>
  <c r="J40" i="1"/>
  <c r="K36" i="1"/>
  <c r="K38" i="1" s="1"/>
  <c r="K39" i="1" s="1"/>
  <c r="M21" i="1"/>
  <c r="L22" i="1"/>
  <c r="K41" i="1" l="1"/>
  <c r="K42" i="1" s="1"/>
  <c r="K40" i="1"/>
  <c r="L36" i="1"/>
  <c r="L38" i="1" s="1"/>
  <c r="L39" i="1" s="1"/>
  <c r="N21" i="1"/>
  <c r="M22" i="1"/>
  <c r="O24" i="1"/>
  <c r="L41" i="1" l="1"/>
  <c r="L42" i="1" s="1"/>
  <c r="L40" i="1"/>
  <c r="M36" i="1"/>
  <c r="M38" i="1" s="1"/>
  <c r="M39" i="1" s="1"/>
  <c r="P24" i="1"/>
  <c r="O28" i="1"/>
  <c r="O21" i="1"/>
  <c r="N22" i="1"/>
  <c r="M40" i="1" l="1"/>
  <c r="M41" i="1"/>
  <c r="M42" i="1" s="1"/>
  <c r="N36" i="1"/>
  <c r="N38" i="1" s="1"/>
  <c r="N39" i="1" s="1"/>
  <c r="P21" i="1"/>
  <c r="O22" i="1"/>
  <c r="O29" i="1" s="1"/>
  <c r="Q24" i="1"/>
  <c r="P28" i="1"/>
  <c r="O31" i="1" l="1"/>
  <c r="O34" i="1" s="1"/>
  <c r="O36" i="1" s="1"/>
  <c r="O38" i="1" s="1"/>
  <c r="O39" i="1" s="1"/>
  <c r="N40" i="1"/>
  <c r="N41" i="1"/>
  <c r="N42" i="1" s="1"/>
  <c r="R24" i="1"/>
  <c r="Q28" i="1"/>
  <c r="Q21" i="1"/>
  <c r="P22" i="1"/>
  <c r="P29" i="1" s="1"/>
  <c r="O40" i="1" l="1"/>
  <c r="O41" i="1"/>
  <c r="O42" i="1" s="1"/>
  <c r="P31" i="1"/>
  <c r="P34" i="1" s="1"/>
  <c r="P36" i="1" s="1"/>
  <c r="P38" i="1" s="1"/>
  <c r="P39" i="1" s="1"/>
  <c r="R21" i="1"/>
  <c r="Q22" i="1"/>
  <c r="Q29" i="1" s="1"/>
  <c r="S24" i="1"/>
  <c r="R28" i="1"/>
  <c r="Q31" i="1" l="1"/>
  <c r="Q34" i="1" s="1"/>
  <c r="Q36" i="1" s="1"/>
  <c r="Q38" i="1" s="1"/>
  <c r="Q39" i="1" s="1"/>
  <c r="P40" i="1"/>
  <c r="P41" i="1"/>
  <c r="P42" i="1" s="1"/>
  <c r="T24" i="1"/>
  <c r="S28" i="1"/>
  <c r="S21" i="1"/>
  <c r="R22" i="1"/>
  <c r="R29" i="1" s="1"/>
  <c r="Q41" i="1" l="1"/>
  <c r="Q42" i="1" s="1"/>
  <c r="Q40" i="1"/>
  <c r="R31" i="1"/>
  <c r="R34" i="1" s="1"/>
  <c r="R36" i="1" s="1"/>
  <c r="R38" i="1" s="1"/>
  <c r="R39" i="1" s="1"/>
  <c r="T21" i="1"/>
  <c r="S22" i="1"/>
  <c r="S29" i="1" s="1"/>
  <c r="U24" i="1"/>
  <c r="T28" i="1"/>
  <c r="S31" i="1" l="1"/>
  <c r="S34" i="1" s="1"/>
  <c r="S36" i="1" s="1"/>
  <c r="S38" i="1" s="1"/>
  <c r="S39" i="1" s="1"/>
  <c r="R41" i="1"/>
  <c r="R42" i="1" s="1"/>
  <c r="R40" i="1"/>
  <c r="V24" i="1"/>
  <c r="V28" i="1" s="1"/>
  <c r="U28" i="1"/>
  <c r="U21" i="1"/>
  <c r="T22" i="1"/>
  <c r="T29" i="1" s="1"/>
  <c r="S41" i="1" l="1"/>
  <c r="S42" i="1" s="1"/>
  <c r="S40" i="1"/>
  <c r="T31" i="1"/>
  <c r="T34" i="1" s="1"/>
  <c r="T36" i="1" s="1"/>
  <c r="T38" i="1" s="1"/>
  <c r="T39" i="1" s="1"/>
  <c r="V21" i="1"/>
  <c r="V22" i="1" s="1"/>
  <c r="V29" i="1" s="1"/>
  <c r="U22" i="1"/>
  <c r="U29" i="1" s="1"/>
  <c r="V31" i="1" l="1"/>
  <c r="V34" i="1" s="1"/>
  <c r="V36" i="1" s="1"/>
  <c r="V38" i="1" s="1"/>
  <c r="V39" i="1" s="1"/>
  <c r="T7" i="1"/>
  <c r="U31" i="1"/>
  <c r="U34" i="1" s="1"/>
  <c r="U36" i="1" s="1"/>
  <c r="U38" i="1" s="1"/>
  <c r="U39" i="1" s="1"/>
  <c r="T40" i="1"/>
  <c r="T41" i="1"/>
  <c r="T42" i="1" s="1"/>
  <c r="V40" i="1" l="1"/>
  <c r="V41" i="1"/>
  <c r="U41" i="1"/>
  <c r="U42" i="1" s="1"/>
  <c r="U40" i="1"/>
  <c r="T5" i="1" s="1"/>
  <c r="T6" i="1"/>
  <c r="V42" i="1" l="1"/>
  <c r="T4" i="1" s="1"/>
</calcChain>
</file>

<file path=xl/sharedStrings.xml><?xml version="1.0" encoding="utf-8"?>
<sst xmlns="http://schemas.openxmlformats.org/spreadsheetml/2006/main" count="56" uniqueCount="53">
  <si>
    <t>Tarif vente par kWh</t>
  </si>
  <si>
    <t>Facteur de dégradation annuelle</t>
  </si>
  <si>
    <t xml:space="preserve">Inflation </t>
  </si>
  <si>
    <t>TVA</t>
  </si>
  <si>
    <t>Assurance</t>
  </si>
  <si>
    <t>Maintenance</t>
  </si>
  <si>
    <t>Année</t>
  </si>
  <si>
    <t>Revalorisation</t>
  </si>
  <si>
    <t>TURPE</t>
  </si>
  <si>
    <t>Frais accès réseaux (TURPE)</t>
  </si>
  <si>
    <t>Changement Onduleur</t>
  </si>
  <si>
    <t>Taux actualisation</t>
  </si>
  <si>
    <t>Taxes</t>
  </si>
  <si>
    <t>Dotation aux ammortissements</t>
  </si>
  <si>
    <t>Provisions</t>
  </si>
  <si>
    <t>Frais financiers</t>
  </si>
  <si>
    <t>Impots</t>
  </si>
  <si>
    <t>Capacité d'auto financement</t>
  </si>
  <si>
    <t>Flux de liquidité actualisé</t>
  </si>
  <si>
    <t>Taux de rentabilité interne</t>
  </si>
  <si>
    <t>Rentabilité financière 
(Résultat Net / Fonds propres)</t>
  </si>
  <si>
    <t>Flux de liquidités investissement</t>
  </si>
  <si>
    <t>Excedent brut d'exploitation</t>
  </si>
  <si>
    <t>Indicateurs de rentabilités</t>
  </si>
  <si>
    <t>Hypothèses</t>
  </si>
  <si>
    <t>Cellules modifiables</t>
  </si>
  <si>
    <t>Productible kWh</t>
  </si>
  <si>
    <t>Puissance en kWc</t>
  </si>
  <si>
    <t>Assurance en €</t>
  </si>
  <si>
    <t>Maintenance en €</t>
  </si>
  <si>
    <t>Remplacement onduleur 12 ans en €</t>
  </si>
  <si>
    <t>Investissement HT en €</t>
  </si>
  <si>
    <t>Investissement TTC en €</t>
  </si>
  <si>
    <t>Fonds propres en €</t>
  </si>
  <si>
    <t>Subvention en €</t>
  </si>
  <si>
    <t>Emprunt en €</t>
  </si>
  <si>
    <t>Production en KWh</t>
  </si>
  <si>
    <t>Recette brute en €</t>
  </si>
  <si>
    <t>Total charges en €</t>
  </si>
  <si>
    <t>Valeur ajoutée en €</t>
  </si>
  <si>
    <t>Résultat d'exploitation en €</t>
  </si>
  <si>
    <t>Résultat avant impots en €</t>
  </si>
  <si>
    <t>Résultat net en €</t>
  </si>
  <si>
    <t>Valeur actuelle nette en €</t>
  </si>
  <si>
    <t>Valeur actuelle nette sur 20 ans  en €</t>
  </si>
  <si>
    <t>Moy revenus an avant impots et sans amortissement - €</t>
  </si>
  <si>
    <t>Ratio € /Wc</t>
  </si>
  <si>
    <t>Capital</t>
  </si>
  <si>
    <t>Intérêt</t>
  </si>
  <si>
    <t>Capital rstant</t>
  </si>
  <si>
    <t>Capital remboursé</t>
  </si>
  <si>
    <t>Échéance</t>
  </si>
  <si>
    <t>Charges financière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</si>
</sst>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1" applyNumberFormat="1" applyFont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2" borderId="1" xfId="1" applyNumberFormat="1" applyFont="1" applyFill="1" applyBorder="1" applyAlignment="1" applyProtection="1">
      <alignment horizontal="right"/>
      <protection locked="0"/>
    </xf>
    <xf numFmtId="3" fontId="2" fillId="0" borderId="6" xfId="1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7" borderId="1" xfId="0" applyNumberFormat="1" applyFont="1" applyFill="1" applyBorder="1" applyAlignment="1">
      <alignment horizontal="right"/>
    </xf>
    <xf numFmtId="3" fontId="2" fillId="7" borderId="1" xfId="1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3" fontId="2" fillId="3" borderId="4" xfId="1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4" borderId="5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4" borderId="1" xfId="1" applyNumberFormat="1" applyFont="1" applyFill="1" applyBorder="1" applyAlignment="1">
      <alignment horizontal="right"/>
    </xf>
    <xf numFmtId="3" fontId="2" fillId="4" borderId="6" xfId="1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3" fontId="2" fillId="3" borderId="6" xfId="1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6" borderId="5" xfId="0" applyNumberFormat="1" applyFont="1" applyFill="1" applyBorder="1" applyAlignment="1">
      <alignment horizontal="right"/>
    </xf>
    <xf numFmtId="3" fontId="2" fillId="6" borderId="1" xfId="0" applyNumberFormat="1" applyFont="1" applyFill="1" applyBorder="1" applyAlignment="1">
      <alignment horizontal="right"/>
    </xf>
    <xf numFmtId="3" fontId="2" fillId="6" borderId="1" xfId="1" applyNumberFormat="1" applyFont="1" applyFill="1" applyBorder="1" applyAlignment="1">
      <alignment horizontal="right"/>
    </xf>
    <xf numFmtId="3" fontId="2" fillId="6" borderId="6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3" fontId="2" fillId="5" borderId="5" xfId="0" applyNumberFormat="1" applyFont="1" applyFill="1" applyBorder="1" applyAlignment="1">
      <alignment horizontal="right"/>
    </xf>
    <xf numFmtId="3" fontId="2" fillId="6" borderId="7" xfId="0" applyNumberFormat="1" applyFont="1" applyFill="1" applyBorder="1" applyAlignment="1">
      <alignment horizontal="right"/>
    </xf>
    <xf numFmtId="3" fontId="2" fillId="6" borderId="8" xfId="1" applyNumberFormat="1" applyFont="1" applyFill="1" applyBorder="1" applyAlignment="1">
      <alignment horizontal="right"/>
    </xf>
    <xf numFmtId="3" fontId="2" fillId="6" borderId="8" xfId="0" applyNumberFormat="1" applyFont="1" applyFill="1" applyBorder="1" applyAlignment="1">
      <alignment horizontal="right"/>
    </xf>
    <xf numFmtId="3" fontId="2" fillId="6" borderId="9" xfId="0" applyNumberFormat="1" applyFont="1" applyFill="1" applyBorder="1" applyAlignment="1">
      <alignment horizontal="right"/>
    </xf>
    <xf numFmtId="9" fontId="2" fillId="2" borderId="1" xfId="2" applyFont="1" applyFill="1" applyBorder="1" applyAlignment="1" applyProtection="1">
      <alignment horizontal="right"/>
      <protection locked="0"/>
    </xf>
    <xf numFmtId="10" fontId="2" fillId="2" borderId="1" xfId="2" applyNumberFormat="1" applyFont="1" applyFill="1" applyBorder="1" applyAlignment="1" applyProtection="1">
      <alignment horizontal="right"/>
      <protection locked="0"/>
    </xf>
    <xf numFmtId="4" fontId="2" fillId="0" borderId="9" xfId="0" applyNumberFormat="1" applyFont="1" applyBorder="1" applyAlignment="1">
      <alignment horizontal="right"/>
    </xf>
    <xf numFmtId="9" fontId="2" fillId="0" borderId="6" xfId="2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2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165" fontId="2" fillId="2" borderId="1" xfId="2" applyNumberFormat="1" applyFont="1" applyFill="1" applyBorder="1" applyAlignment="1" applyProtection="1">
      <alignment horizontal="right"/>
      <protection locked="0"/>
    </xf>
    <xf numFmtId="4" fontId="2" fillId="3" borderId="6" xfId="0" applyNumberFormat="1" applyFont="1" applyFill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 applyProtection="1">
      <alignment horizontal="right" wrapText="1"/>
    </xf>
    <xf numFmtId="3" fontId="2" fillId="0" borderId="8" xfId="0" applyNumberFormat="1" applyFont="1" applyBorder="1" applyAlignment="1" applyProtection="1">
      <alignment horizontal="right" wrapText="1"/>
    </xf>
    <xf numFmtId="3" fontId="2" fillId="0" borderId="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2" fillId="3" borderId="4" xfId="0" applyNumberFormat="1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wrapText="1"/>
    </xf>
    <xf numFmtId="3" fontId="0" fillId="0" borderId="0" xfId="0" applyNumberFormat="1"/>
    <xf numFmtId="9" fontId="0" fillId="0" borderId="0" xfId="2" applyFont="1"/>
    <xf numFmtId="8" fontId="0" fillId="0" borderId="0" xfId="0" applyNumberFormat="1"/>
    <xf numFmtId="4" fontId="0" fillId="0" borderId="0" xfId="0" applyNumberFormat="1"/>
    <xf numFmtId="2" fontId="0" fillId="0" borderId="0" xfId="0" applyNumberFormat="1"/>
    <xf numFmtId="1" fontId="0" fillId="0" borderId="1" xfId="0" applyNumberFormat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Valeur</a:t>
            </a:r>
            <a:r>
              <a:rPr lang="fr-FR" baseline="0"/>
              <a:t> actuelle nette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'Vente totale'!$C$42:$V$42</c:f>
              <c:numCache>
                <c:formatCode>#,##0</c:formatCode>
                <c:ptCount val="20"/>
                <c:pt idx="0">
                  <c:v>-110414.352</c:v>
                </c:pt>
                <c:pt idx="1">
                  <c:v>-101027.10968835469</c:v>
                </c:pt>
                <c:pt idx="2">
                  <c:v>-91891.7997223805</c:v>
                </c:pt>
                <c:pt idx="3">
                  <c:v>-83002.961499511162</c:v>
                </c:pt>
                <c:pt idx="4">
                  <c:v>-74355.252775068555</c:v>
                </c:pt>
                <c:pt idx="5">
                  <c:v>-65943.447096870019</c:v>
                </c:pt>
                <c:pt idx="6">
                  <c:v>-57762.431295440314</c:v>
                </c:pt>
                <c:pt idx="7">
                  <c:v>-49807.203028622884</c:v>
                </c:pt>
                <c:pt idx="8">
                  <c:v>-42072.868379411346</c:v>
                </c:pt>
                <c:pt idx="9">
                  <c:v>-34554.639505847743</c:v>
                </c:pt>
                <c:pt idx="10">
                  <c:v>-27247.832341858913</c:v>
                </c:pt>
                <c:pt idx="11">
                  <c:v>-21845.730814374641</c:v>
                </c:pt>
                <c:pt idx="12">
                  <c:v>-14948.118776961433</c:v>
                </c:pt>
                <c:pt idx="13">
                  <c:v>-8248.4766556300874</c:v>
                </c:pt>
                <c:pt idx="14">
                  <c:v>-1742.5134768300604</c:v>
                </c:pt>
                <c:pt idx="15">
                  <c:v>4573.9687266659284</c:v>
                </c:pt>
                <c:pt idx="16">
                  <c:v>10705.076931662497</c:v>
                </c:pt>
                <c:pt idx="17">
                  <c:v>16654.829096747813</c:v>
                </c:pt>
                <c:pt idx="18">
                  <c:v>22427.156091752462</c:v>
                </c:pt>
                <c:pt idx="19">
                  <c:v>28011.585043372106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9659888"/>
        <c:axId val="769666960"/>
      </c:barChart>
      <c:catAx>
        <c:axId val="76965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9666960"/>
        <c:crosses val="autoZero"/>
        <c:auto val="1"/>
        <c:lblAlgn val="ctr"/>
        <c:lblOffset val="100"/>
        <c:noMultiLvlLbl val="0"/>
      </c:catAx>
      <c:valAx>
        <c:axId val="76966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965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8</xdr:row>
      <xdr:rowOff>90488</xdr:rowOff>
    </xdr:from>
    <xdr:to>
      <xdr:col>19</xdr:col>
      <xdr:colOff>314325</xdr:colOff>
      <xdr:row>18</xdr:row>
      <xdr:rowOff>1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workbookViewId="0">
      <selection activeCell="H10" sqref="H10"/>
    </sheetView>
  </sheetViews>
  <sheetFormatPr baseColWidth="10" defaultColWidth="12.85546875" defaultRowHeight="11.25" x14ac:dyDescent="0.2"/>
  <cols>
    <col min="1" max="1" width="25.85546875" style="4" bestFit="1" customWidth="1"/>
    <col min="2" max="2" width="6.85546875" style="5" bestFit="1" customWidth="1"/>
    <col min="3" max="3" width="9.5703125" style="4" bestFit="1" customWidth="1"/>
    <col min="4" max="6" width="6.85546875" style="4" bestFit="1" customWidth="1"/>
    <col min="7" max="19" width="6.42578125" style="4" bestFit="1" customWidth="1"/>
    <col min="20" max="20" width="7.7109375" style="4" bestFit="1" customWidth="1"/>
    <col min="21" max="22" width="5.5703125" style="4" bestFit="1" customWidth="1"/>
    <col min="23" max="16384" width="12.85546875" style="1"/>
  </cols>
  <sheetData>
    <row r="1" spans="1:22" ht="12" thickBot="1" x14ac:dyDescent="0.25">
      <c r="A1" s="6" t="s">
        <v>24</v>
      </c>
      <c r="B1" s="7"/>
      <c r="C1" s="8"/>
      <c r="D1" s="68"/>
      <c r="E1" s="68"/>
      <c r="F1" s="68"/>
      <c r="G1" s="68"/>
      <c r="H1" s="68"/>
      <c r="I1" s="68"/>
      <c r="J1" s="68"/>
      <c r="K1" s="6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6.5" customHeight="1" x14ac:dyDescent="0.2">
      <c r="A2" s="9" t="s">
        <v>27</v>
      </c>
      <c r="B2" s="7">
        <v>100</v>
      </c>
      <c r="C2" s="8"/>
      <c r="D2" s="53"/>
      <c r="E2" s="54"/>
      <c r="F2" s="53"/>
      <c r="G2" s="71"/>
      <c r="H2" s="71"/>
      <c r="I2" s="71"/>
      <c r="J2" s="71"/>
      <c r="K2" s="71"/>
      <c r="L2" s="8"/>
      <c r="M2" s="72" t="s">
        <v>23</v>
      </c>
      <c r="N2" s="73"/>
      <c r="O2" s="73"/>
      <c r="P2" s="73"/>
      <c r="Q2" s="73"/>
      <c r="R2" s="73"/>
      <c r="S2" s="73"/>
      <c r="T2" s="74"/>
      <c r="U2" s="8"/>
      <c r="V2" s="8"/>
    </row>
    <row r="3" spans="1:22" ht="15" customHeight="1" x14ac:dyDescent="0.2">
      <c r="A3" s="9" t="s">
        <v>26</v>
      </c>
      <c r="B3" s="7">
        <v>112480</v>
      </c>
      <c r="C3" s="8"/>
      <c r="D3" s="54"/>
      <c r="E3" s="53"/>
      <c r="F3" s="53"/>
      <c r="G3" s="53"/>
      <c r="H3" s="55"/>
      <c r="I3" s="55"/>
      <c r="J3" s="55"/>
      <c r="K3" s="55"/>
      <c r="L3" s="8"/>
      <c r="M3" s="75"/>
      <c r="N3" s="76"/>
      <c r="O3" s="76"/>
      <c r="P3" s="76"/>
      <c r="Q3" s="76"/>
      <c r="R3" s="76"/>
      <c r="S3" s="76"/>
      <c r="T3" s="61"/>
      <c r="U3" s="8"/>
      <c r="V3" s="8"/>
    </row>
    <row r="4" spans="1:22" ht="12" customHeight="1" x14ac:dyDescent="0.2">
      <c r="A4" s="9" t="s">
        <v>0</v>
      </c>
      <c r="B4" s="60">
        <v>0.1051</v>
      </c>
      <c r="C4" s="8"/>
      <c r="D4" s="53"/>
      <c r="E4" s="53"/>
      <c r="F4" s="56"/>
      <c r="G4" s="53"/>
      <c r="H4" s="55"/>
      <c r="I4" s="55"/>
      <c r="J4" s="55"/>
      <c r="K4" s="55"/>
      <c r="L4" s="8"/>
      <c r="M4" s="66" t="s">
        <v>44</v>
      </c>
      <c r="N4" s="67"/>
      <c r="O4" s="67"/>
      <c r="P4" s="67"/>
      <c r="Q4" s="67"/>
      <c r="R4" s="67"/>
      <c r="S4" s="67"/>
      <c r="T4" s="62">
        <f>V42</f>
        <v>28011.585043372106</v>
      </c>
      <c r="U4" s="8"/>
      <c r="V4" s="8"/>
    </row>
    <row r="5" spans="1:22" ht="12" customHeight="1" x14ac:dyDescent="0.2">
      <c r="A5" s="9" t="s">
        <v>7</v>
      </c>
      <c r="B5" s="50">
        <v>5.0000000000000001E-3</v>
      </c>
      <c r="C5" s="8"/>
      <c r="D5" s="53"/>
      <c r="E5" s="53"/>
      <c r="F5" s="56"/>
      <c r="G5" s="53"/>
      <c r="H5" s="55"/>
      <c r="I5" s="55"/>
      <c r="J5" s="55"/>
      <c r="K5" s="55"/>
      <c r="L5" s="8"/>
      <c r="M5" s="66" t="s">
        <v>19</v>
      </c>
      <c r="N5" s="67"/>
      <c r="O5" s="67"/>
      <c r="P5" s="67"/>
      <c r="Q5" s="67"/>
      <c r="R5" s="67"/>
      <c r="S5" s="67"/>
      <c r="T5" s="52">
        <f>IRR(B40:V40)</f>
        <v>3.6776743775540188E-2</v>
      </c>
      <c r="U5" s="8"/>
      <c r="V5" s="8"/>
    </row>
    <row r="6" spans="1:22" ht="12.75" customHeight="1" x14ac:dyDescent="0.2">
      <c r="A6" s="9" t="s">
        <v>1</v>
      </c>
      <c r="B6" s="50">
        <v>7.0000000000000001E-3</v>
      </c>
      <c r="C6" s="8"/>
      <c r="D6" s="57"/>
      <c r="E6" s="57"/>
      <c r="F6" s="58"/>
      <c r="G6" s="57"/>
      <c r="H6" s="55"/>
      <c r="I6" s="55"/>
      <c r="J6" s="59"/>
      <c r="K6" s="59"/>
      <c r="L6" s="8"/>
      <c r="M6" s="77" t="s">
        <v>20</v>
      </c>
      <c r="N6" s="78"/>
      <c r="O6" s="78"/>
      <c r="P6" s="78"/>
      <c r="Q6" s="78"/>
      <c r="R6" s="78"/>
      <c r="S6" s="78"/>
      <c r="T6" s="52">
        <f>AVERAGE(C38:V38)/B17</f>
        <v>2.869237317986819E-2</v>
      </c>
      <c r="U6" s="8"/>
      <c r="V6" s="8"/>
    </row>
    <row r="7" spans="1:22" ht="12" customHeight="1" x14ac:dyDescent="0.2">
      <c r="A7" s="9" t="s">
        <v>2</v>
      </c>
      <c r="B7" s="50">
        <v>1.4999999999999999E-2</v>
      </c>
      <c r="C7" s="8"/>
      <c r="D7" s="53"/>
      <c r="E7" s="53"/>
      <c r="F7" s="56"/>
      <c r="G7" s="53"/>
      <c r="H7" s="55"/>
      <c r="I7" s="55"/>
      <c r="J7" s="55"/>
      <c r="K7" s="55"/>
      <c r="L7" s="8"/>
      <c r="M7" s="79" t="s">
        <v>45</v>
      </c>
      <c r="N7" s="80"/>
      <c r="O7" s="80"/>
      <c r="P7" s="80"/>
      <c r="Q7" s="80"/>
      <c r="R7" s="80"/>
      <c r="S7" s="80"/>
      <c r="T7" s="63">
        <f>AVERAGE(C29:V29)</f>
        <v>8434.7220467343323</v>
      </c>
      <c r="U7" s="8"/>
      <c r="V7" s="8"/>
    </row>
    <row r="8" spans="1:22" ht="12.75" thickBot="1" x14ac:dyDescent="0.25">
      <c r="A8" s="9" t="s">
        <v>3</v>
      </c>
      <c r="B8" s="50">
        <v>0.2</v>
      </c>
      <c r="C8" s="8"/>
      <c r="D8" s="53"/>
      <c r="E8" s="53"/>
      <c r="F8" s="56"/>
      <c r="G8" s="53"/>
      <c r="H8" s="55"/>
      <c r="I8" s="55"/>
      <c r="J8" s="55"/>
      <c r="K8" s="55"/>
      <c r="L8" s="8"/>
      <c r="M8" s="64" t="s">
        <v>46</v>
      </c>
      <c r="N8" s="65"/>
      <c r="O8" s="65"/>
      <c r="P8" s="65"/>
      <c r="Q8" s="65"/>
      <c r="R8" s="65"/>
      <c r="S8" s="65"/>
      <c r="T8" s="51">
        <f>B14/(B2*1000)</f>
        <v>1.2</v>
      </c>
      <c r="U8" s="8"/>
      <c r="V8" s="8"/>
    </row>
    <row r="9" spans="1:22" ht="12.75" customHeight="1" x14ac:dyDescent="0.2">
      <c r="A9" s="9" t="s">
        <v>28</v>
      </c>
      <c r="B9" s="10">
        <v>600</v>
      </c>
      <c r="C9" s="8"/>
      <c r="D9" s="53"/>
      <c r="E9" s="53"/>
      <c r="F9" s="56"/>
      <c r="G9" s="53"/>
      <c r="H9" s="55"/>
      <c r="I9" s="55"/>
      <c r="J9" s="55"/>
      <c r="K9" s="55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2" x14ac:dyDescent="0.2">
      <c r="A10" s="9" t="s">
        <v>29</v>
      </c>
      <c r="B10" s="10">
        <v>1000</v>
      </c>
      <c r="C10" s="8"/>
      <c r="D10" s="53"/>
      <c r="E10" s="53"/>
      <c r="F10" s="56"/>
      <c r="G10" s="53"/>
      <c r="H10" s="55"/>
      <c r="I10" s="55"/>
      <c r="J10" s="55"/>
      <c r="K10" s="55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2" x14ac:dyDescent="0.2">
      <c r="A11" s="9" t="s">
        <v>30</v>
      </c>
      <c r="B11" s="10">
        <v>2000</v>
      </c>
      <c r="C11" s="8"/>
      <c r="D11" s="53"/>
      <c r="E11" s="53"/>
      <c r="F11" s="56"/>
      <c r="G11" s="53"/>
      <c r="H11" s="55"/>
      <c r="I11" s="55"/>
      <c r="J11" s="55"/>
      <c r="K11" s="55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2" x14ac:dyDescent="0.2">
      <c r="A12" s="9" t="s">
        <v>9</v>
      </c>
      <c r="B12" s="10">
        <v>636</v>
      </c>
      <c r="C12" s="8"/>
      <c r="D12" s="53"/>
      <c r="E12" s="53"/>
      <c r="F12" s="56"/>
      <c r="G12" s="53"/>
      <c r="H12" s="55"/>
      <c r="I12" s="55"/>
      <c r="J12" s="55"/>
      <c r="K12" s="55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2" x14ac:dyDescent="0.2">
      <c r="A13" s="9" t="s">
        <v>11</v>
      </c>
      <c r="B13" s="49">
        <v>1.4999999999999999E-2</v>
      </c>
      <c r="C13" s="8"/>
      <c r="D13" s="53"/>
      <c r="E13" s="53"/>
      <c r="F13" s="56"/>
      <c r="G13" s="53"/>
      <c r="H13" s="55"/>
      <c r="I13" s="55"/>
      <c r="J13" s="55"/>
      <c r="K13" s="55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2" x14ac:dyDescent="0.2">
      <c r="A14" s="13" t="s">
        <v>31</v>
      </c>
      <c r="B14" s="10">
        <v>120000</v>
      </c>
      <c r="C14" s="8"/>
      <c r="D14" s="53"/>
      <c r="E14" s="53"/>
      <c r="F14" s="56"/>
      <c r="G14" s="53"/>
      <c r="H14" s="55"/>
      <c r="I14" s="55"/>
      <c r="J14" s="55"/>
      <c r="K14" s="5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2" x14ac:dyDescent="0.2">
      <c r="A15" s="14" t="s">
        <v>32</v>
      </c>
      <c r="B15" s="15">
        <f>B14*(1+B8)</f>
        <v>144000</v>
      </c>
      <c r="C15" s="8"/>
      <c r="D15" s="53"/>
      <c r="E15" s="53"/>
      <c r="F15" s="56"/>
      <c r="G15" s="53"/>
      <c r="H15" s="55"/>
      <c r="I15" s="55"/>
      <c r="J15" s="55"/>
      <c r="K15" s="55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2" x14ac:dyDescent="0.2">
      <c r="A16" s="9" t="s">
        <v>34</v>
      </c>
      <c r="B16" s="10">
        <v>0</v>
      </c>
      <c r="C16" s="8"/>
      <c r="D16" s="53"/>
      <c r="E16" s="53"/>
      <c r="F16" s="53"/>
      <c r="G16" s="53"/>
      <c r="H16" s="53"/>
      <c r="I16" s="53"/>
      <c r="J16" s="53"/>
      <c r="K16" s="53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">
      <c r="A17" s="9" t="s">
        <v>33</v>
      </c>
      <c r="B17" s="10">
        <v>43000</v>
      </c>
      <c r="C17" s="8"/>
      <c r="D17" s="16"/>
      <c r="E17" s="17"/>
      <c r="F17" s="16"/>
      <c r="G17" s="1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">
      <c r="A18" s="9" t="s">
        <v>35</v>
      </c>
      <c r="B18" s="19">
        <f>B14-B16-B17</f>
        <v>77000</v>
      </c>
      <c r="C18" s="8"/>
      <c r="D18" s="20"/>
      <c r="E18" s="69" t="s">
        <v>25</v>
      </c>
      <c r="F18" s="70"/>
      <c r="G18" s="7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2" thickBot="1" x14ac:dyDescent="0.25">
      <c r="A19" s="8"/>
      <c r="B19" s="2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">
      <c r="A20" s="22" t="s">
        <v>6</v>
      </c>
      <c r="B20" s="23">
        <v>0</v>
      </c>
      <c r="C20" s="24">
        <v>1</v>
      </c>
      <c r="D20" s="24">
        <v>2</v>
      </c>
      <c r="E20" s="24">
        <v>3</v>
      </c>
      <c r="F20" s="24">
        <v>4</v>
      </c>
      <c r="G20" s="24">
        <v>5</v>
      </c>
      <c r="H20" s="24">
        <v>6</v>
      </c>
      <c r="I20" s="24">
        <v>7</v>
      </c>
      <c r="J20" s="24">
        <v>8</v>
      </c>
      <c r="K20" s="24">
        <v>9</v>
      </c>
      <c r="L20" s="24">
        <v>10</v>
      </c>
      <c r="M20" s="24">
        <v>11</v>
      </c>
      <c r="N20" s="24">
        <v>12</v>
      </c>
      <c r="O20" s="24">
        <v>13</v>
      </c>
      <c r="P20" s="24">
        <v>14</v>
      </c>
      <c r="Q20" s="24">
        <v>15</v>
      </c>
      <c r="R20" s="24">
        <v>16</v>
      </c>
      <c r="S20" s="24">
        <v>17</v>
      </c>
      <c r="T20" s="24">
        <v>18</v>
      </c>
      <c r="U20" s="24">
        <v>19</v>
      </c>
      <c r="V20" s="25">
        <v>20</v>
      </c>
    </row>
    <row r="21" spans="1:22" x14ac:dyDescent="0.2">
      <c r="A21" s="26" t="s">
        <v>36</v>
      </c>
      <c r="B21" s="9"/>
      <c r="C21" s="27">
        <f>B3</f>
        <v>112480</v>
      </c>
      <c r="D21" s="9">
        <f>C21*(100%-$B$6)</f>
        <v>111692.64</v>
      </c>
      <c r="E21" s="9">
        <f t="shared" ref="E21:V21" si="0">D21*(100%-$B$6)</f>
        <v>110910.79152</v>
      </c>
      <c r="F21" s="9">
        <f t="shared" si="0"/>
        <v>110134.41597936</v>
      </c>
      <c r="G21" s="9">
        <f t="shared" si="0"/>
        <v>109363.47506750448</v>
      </c>
      <c r="H21" s="9">
        <f t="shared" si="0"/>
        <v>108597.93074203195</v>
      </c>
      <c r="I21" s="9">
        <f t="shared" si="0"/>
        <v>107837.74522683772</v>
      </c>
      <c r="J21" s="9">
        <f t="shared" si="0"/>
        <v>107082.88101024985</v>
      </c>
      <c r="K21" s="9">
        <f t="shared" si="0"/>
        <v>106333.30084317811</v>
      </c>
      <c r="L21" s="9">
        <f>K21*(100%-$B$6)</f>
        <v>105588.96773727586</v>
      </c>
      <c r="M21" s="9">
        <f>L21*(100%-$B$6)</f>
        <v>104849.84496311493</v>
      </c>
      <c r="N21" s="9">
        <f t="shared" si="0"/>
        <v>104115.89604837312</v>
      </c>
      <c r="O21" s="9">
        <f t="shared" si="0"/>
        <v>103387.08477603451</v>
      </c>
      <c r="P21" s="9">
        <f t="shared" si="0"/>
        <v>102663.37518260226</v>
      </c>
      <c r="Q21" s="9">
        <f>P21*(100%-$B$6)</f>
        <v>101944.73155632404</v>
      </c>
      <c r="R21" s="9">
        <f t="shared" si="0"/>
        <v>101231.11843542977</v>
      </c>
      <c r="S21" s="9">
        <f t="shared" si="0"/>
        <v>100522.50060638177</v>
      </c>
      <c r="T21" s="9">
        <f t="shared" si="0"/>
        <v>99818.843102137093</v>
      </c>
      <c r="U21" s="9">
        <f t="shared" si="0"/>
        <v>99120.111200422136</v>
      </c>
      <c r="V21" s="12">
        <f t="shared" si="0"/>
        <v>98426.270422019181</v>
      </c>
    </row>
    <row r="22" spans="1:22" x14ac:dyDescent="0.2">
      <c r="A22" s="28" t="s">
        <v>37</v>
      </c>
      <c r="B22" s="29"/>
      <c r="C22" s="30">
        <f>C21*B4</f>
        <v>11821.647999999999</v>
      </c>
      <c r="D22" s="30">
        <f t="shared" ref="D22:V22" si="1">D21*($B$4*(1+$B$5))</f>
        <v>11797.590946319999</v>
      </c>
      <c r="E22" s="30">
        <f t="shared" si="1"/>
        <v>11715.007809695759</v>
      </c>
      <c r="F22" s="30">
        <f t="shared" si="1"/>
        <v>11633.002755027888</v>
      </c>
      <c r="G22" s="30">
        <f t="shared" si="1"/>
        <v>11551.571735742693</v>
      </c>
      <c r="H22" s="30">
        <f t="shared" si="1"/>
        <v>11470.710733592494</v>
      </c>
      <c r="I22" s="30">
        <f t="shared" si="1"/>
        <v>11390.415758457346</v>
      </c>
      <c r="J22" s="30">
        <f t="shared" si="1"/>
        <v>11310.682848148144</v>
      </c>
      <c r="K22" s="30">
        <f t="shared" si="1"/>
        <v>11231.508068211107</v>
      </c>
      <c r="L22" s="30">
        <f t="shared" si="1"/>
        <v>11152.88751173363</v>
      </c>
      <c r="M22" s="30">
        <f t="shared" si="1"/>
        <v>11074.817299151495</v>
      </c>
      <c r="N22" s="30">
        <f t="shared" si="1"/>
        <v>10997.293578057433</v>
      </c>
      <c r="O22" s="30">
        <f t="shared" si="1"/>
        <v>10920.312523011031</v>
      </c>
      <c r="P22" s="30">
        <f t="shared" si="1"/>
        <v>10843.870335349953</v>
      </c>
      <c r="Q22" s="30">
        <f t="shared" si="1"/>
        <v>10767.963243002503</v>
      </c>
      <c r="R22" s="30">
        <f t="shared" si="1"/>
        <v>10692.587500301486</v>
      </c>
      <c r="S22" s="30">
        <f t="shared" si="1"/>
        <v>10617.739387799376</v>
      </c>
      <c r="T22" s="30">
        <f t="shared" si="1"/>
        <v>10543.415212084779</v>
      </c>
      <c r="U22" s="30">
        <f t="shared" si="1"/>
        <v>10469.611305600187</v>
      </c>
      <c r="V22" s="31">
        <f t="shared" si="1"/>
        <v>10396.324026460985</v>
      </c>
    </row>
    <row r="23" spans="1:22" ht="15" x14ac:dyDescent="0.25">
      <c r="A23" s="32" t="s">
        <v>52</v>
      </c>
      <c r="B23" s="33"/>
      <c r="C23" s="86">
        <f t="array" ref="C23:N23">TRANSPOSE(Emprunt!C6:C17)</f>
        <v>770</v>
      </c>
      <c r="D23" s="86">
        <v>696.40180105559807</v>
      </c>
      <c r="E23" s="86">
        <v>622.06762012175216</v>
      </c>
      <c r="F23" s="86">
        <v>546.99009737856773</v>
      </c>
      <c r="G23" s="86">
        <v>471.16179940795149</v>
      </c>
      <c r="H23" s="86">
        <v>394.57521845762909</v>
      </c>
      <c r="I23" s="86">
        <v>317.22277169780347</v>
      </c>
      <c r="J23" s="86">
        <v>239.09680047037955</v>
      </c>
      <c r="K23" s="86">
        <v>160.18956953068138</v>
      </c>
      <c r="L23" s="86">
        <v>80.493266281586259</v>
      </c>
      <c r="M23" s="86">
        <v>0</v>
      </c>
      <c r="N23" s="86">
        <v>0</v>
      </c>
      <c r="O23" s="13"/>
      <c r="P23" s="13"/>
      <c r="Q23" s="13"/>
      <c r="R23" s="13"/>
      <c r="S23" s="13"/>
      <c r="T23" s="13"/>
      <c r="U23" s="13"/>
      <c r="V23" s="34"/>
    </row>
    <row r="24" spans="1:22" x14ac:dyDescent="0.2">
      <c r="A24" s="26" t="s">
        <v>4</v>
      </c>
      <c r="B24" s="9"/>
      <c r="C24" s="27">
        <f>B9</f>
        <v>600</v>
      </c>
      <c r="D24" s="27">
        <f>C24*(1+$B$7)</f>
        <v>608.99999999999989</v>
      </c>
      <c r="E24" s="27">
        <f t="shared" ref="E24:V24" si="2">D24*(1+$B$7)</f>
        <v>618.13499999999988</v>
      </c>
      <c r="F24" s="27">
        <f t="shared" si="2"/>
        <v>627.40702499999986</v>
      </c>
      <c r="G24" s="27">
        <f t="shared" si="2"/>
        <v>636.81813037499978</v>
      </c>
      <c r="H24" s="27">
        <f t="shared" si="2"/>
        <v>646.37040233062476</v>
      </c>
      <c r="I24" s="27">
        <f t="shared" si="2"/>
        <v>656.06595836558404</v>
      </c>
      <c r="J24" s="27">
        <f t="shared" si="2"/>
        <v>665.90694774106771</v>
      </c>
      <c r="K24" s="27">
        <f t="shared" si="2"/>
        <v>675.89555195718367</v>
      </c>
      <c r="L24" s="27">
        <f t="shared" ref="L24:M26" si="3">K24*(1+$B$7)</f>
        <v>686.03398523654141</v>
      </c>
      <c r="M24" s="27">
        <f t="shared" si="3"/>
        <v>696.3244950150895</v>
      </c>
      <c r="N24" s="27">
        <f t="shared" si="2"/>
        <v>706.76936244031572</v>
      </c>
      <c r="O24" s="27">
        <f t="shared" si="2"/>
        <v>717.37090287692035</v>
      </c>
      <c r="P24" s="27">
        <f t="shared" si="2"/>
        <v>728.13146642007405</v>
      </c>
      <c r="Q24" s="27">
        <f>P24*(1+$B$7)</f>
        <v>739.05343841637512</v>
      </c>
      <c r="R24" s="27">
        <f t="shared" si="2"/>
        <v>750.13923999262067</v>
      </c>
      <c r="S24" s="27">
        <f t="shared" si="2"/>
        <v>761.39132859250992</v>
      </c>
      <c r="T24" s="27">
        <f t="shared" si="2"/>
        <v>772.81219852139748</v>
      </c>
      <c r="U24" s="27">
        <f t="shared" si="2"/>
        <v>784.4043814992184</v>
      </c>
      <c r="V24" s="11">
        <f t="shared" si="2"/>
        <v>796.17044722170658</v>
      </c>
    </row>
    <row r="25" spans="1:22" x14ac:dyDescent="0.2">
      <c r="A25" s="26" t="s">
        <v>5</v>
      </c>
      <c r="B25" s="9"/>
      <c r="C25" s="27">
        <f>B10</f>
        <v>1000</v>
      </c>
      <c r="D25" s="27">
        <f>C25*(1+$B$7)</f>
        <v>1014.9999999999999</v>
      </c>
      <c r="E25" s="27">
        <f t="shared" ref="E25:V25" si="4">D25*(1+$B$7)</f>
        <v>1030.2249999999997</v>
      </c>
      <c r="F25" s="27">
        <f t="shared" si="4"/>
        <v>1045.6783749999995</v>
      </c>
      <c r="G25" s="27">
        <f t="shared" si="4"/>
        <v>1061.3635506249993</v>
      </c>
      <c r="H25" s="27">
        <f t="shared" si="4"/>
        <v>1077.2840038843742</v>
      </c>
      <c r="I25" s="27">
        <f t="shared" si="4"/>
        <v>1093.4432639426398</v>
      </c>
      <c r="J25" s="27">
        <f t="shared" si="4"/>
        <v>1109.8449129017793</v>
      </c>
      <c r="K25" s="27">
        <f t="shared" si="4"/>
        <v>1126.4925865953057</v>
      </c>
      <c r="L25" s="27">
        <f t="shared" si="3"/>
        <v>1143.3899753942353</v>
      </c>
      <c r="M25" s="27">
        <f t="shared" si="3"/>
        <v>1160.5408250251487</v>
      </c>
      <c r="N25" s="27">
        <f t="shared" si="4"/>
        <v>1177.9489374005259</v>
      </c>
      <c r="O25" s="27">
        <f t="shared" si="4"/>
        <v>1195.6181714615336</v>
      </c>
      <c r="P25" s="27">
        <f t="shared" si="4"/>
        <v>1213.5524440334566</v>
      </c>
      <c r="Q25" s="27">
        <f>P25*(1+$B$7)</f>
        <v>1231.7557306939584</v>
      </c>
      <c r="R25" s="27">
        <f t="shared" si="4"/>
        <v>1250.2320666543676</v>
      </c>
      <c r="S25" s="27">
        <f t="shared" si="4"/>
        <v>1268.9855476541829</v>
      </c>
      <c r="T25" s="27">
        <f t="shared" si="4"/>
        <v>1288.0203308689956</v>
      </c>
      <c r="U25" s="27">
        <f t="shared" si="4"/>
        <v>1307.3406358320306</v>
      </c>
      <c r="V25" s="11">
        <f t="shared" si="4"/>
        <v>1326.950745369511</v>
      </c>
    </row>
    <row r="26" spans="1:22" x14ac:dyDescent="0.2">
      <c r="A26" s="26" t="s">
        <v>8</v>
      </c>
      <c r="B26" s="9"/>
      <c r="C26" s="27">
        <f>B12</f>
        <v>636</v>
      </c>
      <c r="D26" s="27">
        <f>C26*(1+$B$7)</f>
        <v>645.54</v>
      </c>
      <c r="E26" s="27">
        <f t="shared" ref="E26:V26" si="5">D26*(1+$B$7)</f>
        <v>655.22309999999993</v>
      </c>
      <c r="F26" s="27">
        <f t="shared" si="5"/>
        <v>665.05144649999988</v>
      </c>
      <c r="G26" s="27">
        <f t="shared" si="5"/>
        <v>675.02721819749979</v>
      </c>
      <c r="H26" s="27">
        <f t="shared" si="5"/>
        <v>685.15262647046222</v>
      </c>
      <c r="I26" s="27">
        <f t="shared" si="5"/>
        <v>695.42991586751907</v>
      </c>
      <c r="J26" s="27">
        <f t="shared" si="5"/>
        <v>705.86136460553178</v>
      </c>
      <c r="K26" s="27">
        <f t="shared" si="5"/>
        <v>716.44928507461464</v>
      </c>
      <c r="L26" s="27">
        <f t="shared" si="3"/>
        <v>727.19602435073375</v>
      </c>
      <c r="M26" s="27">
        <f t="shared" si="3"/>
        <v>738.10396471599472</v>
      </c>
      <c r="N26" s="27">
        <f t="shared" si="5"/>
        <v>749.17552418673461</v>
      </c>
      <c r="O26" s="27">
        <f t="shared" si="5"/>
        <v>760.41315704953558</v>
      </c>
      <c r="P26" s="27">
        <f t="shared" si="5"/>
        <v>771.81935440527855</v>
      </c>
      <c r="Q26" s="27">
        <f>P26*(1+$B$7)</f>
        <v>783.39664472135769</v>
      </c>
      <c r="R26" s="27">
        <f t="shared" si="5"/>
        <v>795.14759439217801</v>
      </c>
      <c r="S26" s="27">
        <f t="shared" si="5"/>
        <v>807.0748083080606</v>
      </c>
      <c r="T26" s="27">
        <f t="shared" si="5"/>
        <v>819.18093043268141</v>
      </c>
      <c r="U26" s="27">
        <f t="shared" si="5"/>
        <v>831.46864438917157</v>
      </c>
      <c r="V26" s="11">
        <f t="shared" si="5"/>
        <v>843.94067405500903</v>
      </c>
    </row>
    <row r="27" spans="1:22" x14ac:dyDescent="0.2">
      <c r="A27" s="26" t="s">
        <v>10</v>
      </c>
      <c r="B27" s="9"/>
      <c r="C27" s="27"/>
      <c r="D27" s="9"/>
      <c r="E27" s="9"/>
      <c r="F27" s="9"/>
      <c r="G27" s="9"/>
      <c r="H27" s="9"/>
      <c r="I27" s="9"/>
      <c r="J27" s="9"/>
      <c r="K27" s="9"/>
      <c r="L27" s="9"/>
      <c r="M27" s="9"/>
      <c r="N27" s="9">
        <f>B11</f>
        <v>2000</v>
      </c>
      <c r="O27" s="9"/>
      <c r="P27" s="9"/>
      <c r="Q27" s="9"/>
      <c r="R27" s="9"/>
      <c r="S27" s="9"/>
      <c r="T27" s="9"/>
      <c r="U27" s="9"/>
      <c r="V27" s="12"/>
    </row>
    <row r="28" spans="1:22" x14ac:dyDescent="0.2">
      <c r="A28" s="28" t="s">
        <v>38</v>
      </c>
      <c r="B28" s="29"/>
      <c r="C28" s="30">
        <f>SUM(C24:C27)</f>
        <v>2236</v>
      </c>
      <c r="D28" s="30">
        <f t="shared" ref="D28:V28" si="6">SUM(D24:D27)</f>
        <v>2269.54</v>
      </c>
      <c r="E28" s="30">
        <f t="shared" si="6"/>
        <v>2303.5830999999998</v>
      </c>
      <c r="F28" s="30">
        <f t="shared" si="6"/>
        <v>2338.1368464999996</v>
      </c>
      <c r="G28" s="30">
        <f t="shared" si="6"/>
        <v>2373.2088991974988</v>
      </c>
      <c r="H28" s="30">
        <f t="shared" si="6"/>
        <v>2408.8070326854613</v>
      </c>
      <c r="I28" s="30">
        <f t="shared" si="6"/>
        <v>2444.9391381757428</v>
      </c>
      <c r="J28" s="30">
        <f t="shared" si="6"/>
        <v>2481.613225248379</v>
      </c>
      <c r="K28" s="30">
        <f t="shared" si="6"/>
        <v>2518.8374236271038</v>
      </c>
      <c r="L28" s="30">
        <f t="shared" si="6"/>
        <v>2556.6199849815102</v>
      </c>
      <c r="M28" s="30">
        <f t="shared" si="6"/>
        <v>2594.9692847562328</v>
      </c>
      <c r="N28" s="30">
        <f t="shared" si="6"/>
        <v>4633.8938240275766</v>
      </c>
      <c r="O28" s="30">
        <f t="shared" si="6"/>
        <v>2673.4022313879896</v>
      </c>
      <c r="P28" s="30">
        <f t="shared" si="6"/>
        <v>2713.5032648588094</v>
      </c>
      <c r="Q28" s="30">
        <f t="shared" si="6"/>
        <v>2754.2058138316916</v>
      </c>
      <c r="R28" s="30">
        <f t="shared" si="6"/>
        <v>2795.5189010391659</v>
      </c>
      <c r="S28" s="30">
        <f t="shared" si="6"/>
        <v>2837.4516845547537</v>
      </c>
      <c r="T28" s="30">
        <f t="shared" si="6"/>
        <v>2880.0134598230743</v>
      </c>
      <c r="U28" s="30">
        <f t="shared" si="6"/>
        <v>2923.2136617204205</v>
      </c>
      <c r="V28" s="31">
        <f t="shared" si="6"/>
        <v>2967.0618666462265</v>
      </c>
    </row>
    <row r="29" spans="1:22" x14ac:dyDescent="0.2">
      <c r="A29" s="35" t="s">
        <v>39</v>
      </c>
      <c r="B29" s="6"/>
      <c r="C29" s="36">
        <f t="shared" ref="C29:V29" si="7">C22-C28</f>
        <v>9585.6479999999992</v>
      </c>
      <c r="D29" s="36">
        <f t="shared" si="7"/>
        <v>9528.0509463199996</v>
      </c>
      <c r="E29" s="36">
        <f t="shared" si="7"/>
        <v>9411.4247096957588</v>
      </c>
      <c r="F29" s="36">
        <f t="shared" si="7"/>
        <v>9294.8659085278887</v>
      </c>
      <c r="G29" s="36">
        <f t="shared" si="7"/>
        <v>9178.362836545195</v>
      </c>
      <c r="H29" s="36">
        <f t="shared" si="7"/>
        <v>9061.9037009070325</v>
      </c>
      <c r="I29" s="36">
        <f t="shared" si="7"/>
        <v>8945.4766202816027</v>
      </c>
      <c r="J29" s="36">
        <f t="shared" si="7"/>
        <v>8829.0696228997658</v>
      </c>
      <c r="K29" s="36">
        <f t="shared" si="7"/>
        <v>8712.6706445840027</v>
      </c>
      <c r="L29" s="36">
        <f t="shared" si="7"/>
        <v>8596.267526752119</v>
      </c>
      <c r="M29" s="36">
        <f t="shared" si="7"/>
        <v>8479.848014395262</v>
      </c>
      <c r="N29" s="36">
        <f t="shared" si="7"/>
        <v>6363.3997540298569</v>
      </c>
      <c r="O29" s="36">
        <f t="shared" si="7"/>
        <v>8246.9102916230404</v>
      </c>
      <c r="P29" s="36">
        <f t="shared" si="7"/>
        <v>8130.3670704911437</v>
      </c>
      <c r="Q29" s="36">
        <f t="shared" si="7"/>
        <v>8013.7574291708115</v>
      </c>
      <c r="R29" s="36">
        <f t="shared" si="7"/>
        <v>7897.0685992623203</v>
      </c>
      <c r="S29" s="36">
        <f t="shared" si="7"/>
        <v>7780.2877032446231</v>
      </c>
      <c r="T29" s="36">
        <f t="shared" si="7"/>
        <v>7663.401752261705</v>
      </c>
      <c r="U29" s="36">
        <f t="shared" si="7"/>
        <v>7546.3976438797663</v>
      </c>
      <c r="V29" s="37">
        <f t="shared" si="7"/>
        <v>7429.262159814758</v>
      </c>
    </row>
    <row r="30" spans="1:22" s="2" customFormat="1" x14ac:dyDescent="0.2">
      <c r="A30" s="38" t="s">
        <v>12</v>
      </c>
      <c r="B30" s="13"/>
      <c r="C30" s="19">
        <v>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s="2" customFormat="1" x14ac:dyDescent="0.2">
      <c r="A31" s="39" t="s">
        <v>22</v>
      </c>
      <c r="B31" s="40"/>
      <c r="C31" s="41">
        <f>C29-C30</f>
        <v>9585.6479999999992</v>
      </c>
      <c r="D31" s="41">
        <f t="shared" ref="D31:V31" si="8">D29-D30</f>
        <v>9528.0509463199996</v>
      </c>
      <c r="E31" s="41">
        <f t="shared" si="8"/>
        <v>9411.4247096957588</v>
      </c>
      <c r="F31" s="41">
        <f t="shared" si="8"/>
        <v>9294.8659085278887</v>
      </c>
      <c r="G31" s="41">
        <f t="shared" si="8"/>
        <v>9178.362836545195</v>
      </c>
      <c r="H31" s="41">
        <f t="shared" si="8"/>
        <v>9061.9037009070325</v>
      </c>
      <c r="I31" s="41">
        <f t="shared" si="8"/>
        <v>8945.4766202816027</v>
      </c>
      <c r="J31" s="41">
        <f t="shared" si="8"/>
        <v>8829.0696228997658</v>
      </c>
      <c r="K31" s="41">
        <f t="shared" si="8"/>
        <v>8712.6706445840027</v>
      </c>
      <c r="L31" s="41">
        <f t="shared" si="8"/>
        <v>8596.267526752119</v>
      </c>
      <c r="M31" s="41">
        <f t="shared" si="8"/>
        <v>8479.848014395262</v>
      </c>
      <c r="N31" s="41">
        <f t="shared" si="8"/>
        <v>6363.3997540298569</v>
      </c>
      <c r="O31" s="41">
        <f t="shared" si="8"/>
        <v>8246.9102916230404</v>
      </c>
      <c r="P31" s="41">
        <f t="shared" si="8"/>
        <v>8130.3670704911437</v>
      </c>
      <c r="Q31" s="41">
        <f t="shared" si="8"/>
        <v>8013.7574291708115</v>
      </c>
      <c r="R31" s="41">
        <f t="shared" si="8"/>
        <v>7897.0685992623203</v>
      </c>
      <c r="S31" s="41">
        <f t="shared" si="8"/>
        <v>7780.2877032446231</v>
      </c>
      <c r="T31" s="41">
        <f t="shared" si="8"/>
        <v>7663.401752261705</v>
      </c>
      <c r="U31" s="41">
        <f t="shared" si="8"/>
        <v>7546.3976438797663</v>
      </c>
      <c r="V31" s="42">
        <f t="shared" si="8"/>
        <v>7429.262159814758</v>
      </c>
    </row>
    <row r="32" spans="1:22" s="2" customFormat="1" x14ac:dyDescent="0.2">
      <c r="A32" s="38" t="s">
        <v>13</v>
      </c>
      <c r="B32" s="13"/>
      <c r="C32" s="19">
        <f t="shared" ref="C32:V32" si="9">($B$15-$B$16)/20</f>
        <v>7200</v>
      </c>
      <c r="D32" s="19">
        <f t="shared" si="9"/>
        <v>7200</v>
      </c>
      <c r="E32" s="19">
        <f t="shared" si="9"/>
        <v>7200</v>
      </c>
      <c r="F32" s="19">
        <f t="shared" si="9"/>
        <v>7200</v>
      </c>
      <c r="G32" s="19">
        <f t="shared" si="9"/>
        <v>7200</v>
      </c>
      <c r="H32" s="19">
        <f t="shared" si="9"/>
        <v>7200</v>
      </c>
      <c r="I32" s="19">
        <f t="shared" si="9"/>
        <v>7200</v>
      </c>
      <c r="J32" s="19">
        <f t="shared" si="9"/>
        <v>7200</v>
      </c>
      <c r="K32" s="19">
        <f t="shared" si="9"/>
        <v>7200</v>
      </c>
      <c r="L32" s="19">
        <f t="shared" si="9"/>
        <v>7200</v>
      </c>
      <c r="M32" s="19">
        <f t="shared" si="9"/>
        <v>7200</v>
      </c>
      <c r="N32" s="19">
        <f t="shared" si="9"/>
        <v>7200</v>
      </c>
      <c r="O32" s="19">
        <f t="shared" si="9"/>
        <v>7200</v>
      </c>
      <c r="P32" s="19">
        <f t="shared" si="9"/>
        <v>7200</v>
      </c>
      <c r="Q32" s="19">
        <f t="shared" si="9"/>
        <v>7200</v>
      </c>
      <c r="R32" s="19">
        <f t="shared" si="9"/>
        <v>7200</v>
      </c>
      <c r="S32" s="19">
        <f t="shared" si="9"/>
        <v>7200</v>
      </c>
      <c r="T32" s="19">
        <f t="shared" si="9"/>
        <v>7200</v>
      </c>
      <c r="U32" s="19">
        <f t="shared" si="9"/>
        <v>7200</v>
      </c>
      <c r="V32" s="19">
        <f t="shared" si="9"/>
        <v>7200</v>
      </c>
    </row>
    <row r="33" spans="1:23" s="2" customFormat="1" x14ac:dyDescent="0.2">
      <c r="A33" s="38" t="s">
        <v>14</v>
      </c>
      <c r="B33" s="13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43">
        <v>0</v>
      </c>
    </row>
    <row r="34" spans="1:23" s="2" customFormat="1" x14ac:dyDescent="0.2">
      <c r="A34" s="39" t="s">
        <v>40</v>
      </c>
      <c r="B34" s="40"/>
      <c r="C34" s="41">
        <f>C31-C32-C33</f>
        <v>2385.6479999999992</v>
      </c>
      <c r="D34" s="41">
        <f t="shared" ref="D34:V34" si="10">D31-D32-D33</f>
        <v>2328.0509463199996</v>
      </c>
      <c r="E34" s="41">
        <f t="shared" si="10"/>
        <v>2211.4247096957588</v>
      </c>
      <c r="F34" s="41">
        <f t="shared" si="10"/>
        <v>2094.8659085278887</v>
      </c>
      <c r="G34" s="41">
        <f t="shared" si="10"/>
        <v>1978.362836545195</v>
      </c>
      <c r="H34" s="41">
        <f t="shared" si="10"/>
        <v>1861.9037009070325</v>
      </c>
      <c r="I34" s="41">
        <f t="shared" si="10"/>
        <v>1745.4766202816027</v>
      </c>
      <c r="J34" s="41">
        <f t="shared" si="10"/>
        <v>1629.0696228997658</v>
      </c>
      <c r="K34" s="41">
        <f t="shared" si="10"/>
        <v>1512.6706445840027</v>
      </c>
      <c r="L34" s="41">
        <f t="shared" si="10"/>
        <v>1396.267526752119</v>
      </c>
      <c r="M34" s="41">
        <f t="shared" si="10"/>
        <v>1279.848014395262</v>
      </c>
      <c r="N34" s="41">
        <f t="shared" si="10"/>
        <v>-836.60024597014308</v>
      </c>
      <c r="O34" s="41">
        <f t="shared" si="10"/>
        <v>1046.9102916230404</v>
      </c>
      <c r="P34" s="41">
        <f t="shared" si="10"/>
        <v>930.36707049114375</v>
      </c>
      <c r="Q34" s="41">
        <f t="shared" si="10"/>
        <v>813.75742917081152</v>
      </c>
      <c r="R34" s="41">
        <f t="shared" si="10"/>
        <v>697.06859926232028</v>
      </c>
      <c r="S34" s="41">
        <f t="shared" si="10"/>
        <v>580.28770324462312</v>
      </c>
      <c r="T34" s="41">
        <f t="shared" si="10"/>
        <v>463.40175226170504</v>
      </c>
      <c r="U34" s="41">
        <f t="shared" si="10"/>
        <v>346.39764387976629</v>
      </c>
      <c r="V34" s="42">
        <f t="shared" si="10"/>
        <v>229.26215981475798</v>
      </c>
    </row>
    <row r="35" spans="1:23" s="2" customFormat="1" x14ac:dyDescent="0.2">
      <c r="A35" s="38" t="s">
        <v>15</v>
      </c>
      <c r="B35" s="13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43">
        <v>19</v>
      </c>
    </row>
    <row r="36" spans="1:23" s="2" customFormat="1" x14ac:dyDescent="0.2">
      <c r="A36" s="39" t="s">
        <v>41</v>
      </c>
      <c r="B36" s="40"/>
      <c r="C36" s="41">
        <f>C34-C35</f>
        <v>2385.6479999999992</v>
      </c>
      <c r="D36" s="41">
        <f t="shared" ref="D36:V36" si="11">D34-D35</f>
        <v>2328.0509463199996</v>
      </c>
      <c r="E36" s="41">
        <f t="shared" si="11"/>
        <v>2211.4247096957588</v>
      </c>
      <c r="F36" s="41">
        <f t="shared" si="11"/>
        <v>2094.8659085278887</v>
      </c>
      <c r="G36" s="41">
        <f t="shared" si="11"/>
        <v>1978.362836545195</v>
      </c>
      <c r="H36" s="41">
        <f t="shared" si="11"/>
        <v>1861.9037009070325</v>
      </c>
      <c r="I36" s="41">
        <f t="shared" si="11"/>
        <v>1745.4766202816027</v>
      </c>
      <c r="J36" s="41">
        <f t="shared" si="11"/>
        <v>1629.0696228997658</v>
      </c>
      <c r="K36" s="41">
        <f t="shared" si="11"/>
        <v>1512.6706445840027</v>
      </c>
      <c r="L36" s="41">
        <f t="shared" si="11"/>
        <v>1396.267526752119</v>
      </c>
      <c r="M36" s="41">
        <f t="shared" si="11"/>
        <v>1279.848014395262</v>
      </c>
      <c r="N36" s="41">
        <f t="shared" si="11"/>
        <v>-836.60024597014308</v>
      </c>
      <c r="O36" s="41">
        <f t="shared" si="11"/>
        <v>1046.9102916230404</v>
      </c>
      <c r="P36" s="41">
        <f t="shared" si="11"/>
        <v>930.36707049114375</v>
      </c>
      <c r="Q36" s="41">
        <f t="shared" si="11"/>
        <v>813.75742917081152</v>
      </c>
      <c r="R36" s="41">
        <f t="shared" si="11"/>
        <v>697.06859926232028</v>
      </c>
      <c r="S36" s="41">
        <f t="shared" si="11"/>
        <v>580.28770324462312</v>
      </c>
      <c r="T36" s="41">
        <f t="shared" si="11"/>
        <v>463.40175226170504</v>
      </c>
      <c r="U36" s="41">
        <f t="shared" si="11"/>
        <v>346.39764387976629</v>
      </c>
      <c r="V36" s="42">
        <f t="shared" si="11"/>
        <v>210.26215981475798</v>
      </c>
    </row>
    <row r="37" spans="1:23" s="2" customFormat="1" x14ac:dyDescent="0.2">
      <c r="A37" s="38" t="s">
        <v>16</v>
      </c>
      <c r="B37" s="13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43"/>
    </row>
    <row r="38" spans="1:23" s="2" customFormat="1" x14ac:dyDescent="0.2">
      <c r="A38" s="39" t="s">
        <v>42</v>
      </c>
      <c r="B38" s="40"/>
      <c r="C38" s="41">
        <f>C36-C37</f>
        <v>2385.6479999999992</v>
      </c>
      <c r="D38" s="41">
        <f t="shared" ref="D38:V38" si="12">D36-D37</f>
        <v>2328.0509463199996</v>
      </c>
      <c r="E38" s="41">
        <f t="shared" si="12"/>
        <v>2211.4247096957588</v>
      </c>
      <c r="F38" s="41">
        <f t="shared" si="12"/>
        <v>2094.8659085278887</v>
      </c>
      <c r="G38" s="41">
        <f t="shared" si="12"/>
        <v>1978.362836545195</v>
      </c>
      <c r="H38" s="41">
        <f t="shared" si="12"/>
        <v>1861.9037009070325</v>
      </c>
      <c r="I38" s="41">
        <f t="shared" si="12"/>
        <v>1745.4766202816027</v>
      </c>
      <c r="J38" s="41">
        <f t="shared" si="12"/>
        <v>1629.0696228997658</v>
      </c>
      <c r="K38" s="41">
        <f t="shared" si="12"/>
        <v>1512.6706445840027</v>
      </c>
      <c r="L38" s="41">
        <f t="shared" si="12"/>
        <v>1396.267526752119</v>
      </c>
      <c r="M38" s="41">
        <f t="shared" si="12"/>
        <v>1279.848014395262</v>
      </c>
      <c r="N38" s="41">
        <f t="shared" si="12"/>
        <v>-836.60024597014308</v>
      </c>
      <c r="O38" s="41">
        <f t="shared" si="12"/>
        <v>1046.9102916230404</v>
      </c>
      <c r="P38" s="41">
        <f t="shared" si="12"/>
        <v>930.36707049114375</v>
      </c>
      <c r="Q38" s="41">
        <f t="shared" si="12"/>
        <v>813.75742917081152</v>
      </c>
      <c r="R38" s="41">
        <f t="shared" si="12"/>
        <v>697.06859926232028</v>
      </c>
      <c r="S38" s="41">
        <f t="shared" si="12"/>
        <v>580.28770324462312</v>
      </c>
      <c r="T38" s="41">
        <f t="shared" si="12"/>
        <v>463.40175226170504</v>
      </c>
      <c r="U38" s="41">
        <f t="shared" si="12"/>
        <v>346.39764387976629</v>
      </c>
      <c r="V38" s="42">
        <f t="shared" si="12"/>
        <v>210.26215981475798</v>
      </c>
    </row>
    <row r="39" spans="1:23" x14ac:dyDescent="0.2">
      <c r="A39" s="44" t="s">
        <v>17</v>
      </c>
      <c r="B39" s="27"/>
      <c r="C39" s="9">
        <f t="shared" ref="C39:V39" si="13">C38+C33+C32</f>
        <v>9585.6479999999992</v>
      </c>
      <c r="D39" s="9">
        <f t="shared" si="13"/>
        <v>9528.0509463199996</v>
      </c>
      <c r="E39" s="9">
        <f t="shared" si="13"/>
        <v>9411.4247096957588</v>
      </c>
      <c r="F39" s="9">
        <f t="shared" si="13"/>
        <v>9294.8659085278887</v>
      </c>
      <c r="G39" s="9">
        <f t="shared" si="13"/>
        <v>9178.362836545195</v>
      </c>
      <c r="H39" s="9">
        <f t="shared" si="13"/>
        <v>9061.9037009070325</v>
      </c>
      <c r="I39" s="9">
        <f t="shared" si="13"/>
        <v>8945.4766202816027</v>
      </c>
      <c r="J39" s="9">
        <f t="shared" si="13"/>
        <v>8829.0696228997658</v>
      </c>
      <c r="K39" s="9">
        <f t="shared" si="13"/>
        <v>8712.6706445840027</v>
      </c>
      <c r="L39" s="9">
        <f t="shared" si="13"/>
        <v>8596.267526752119</v>
      </c>
      <c r="M39" s="9">
        <f t="shared" si="13"/>
        <v>8479.848014395262</v>
      </c>
      <c r="N39" s="9">
        <f t="shared" si="13"/>
        <v>6363.3997540298569</v>
      </c>
      <c r="O39" s="9">
        <f t="shared" si="13"/>
        <v>8246.9102916230404</v>
      </c>
      <c r="P39" s="9">
        <f t="shared" si="13"/>
        <v>8130.3670704911437</v>
      </c>
      <c r="Q39" s="9">
        <f t="shared" si="13"/>
        <v>8013.7574291708115</v>
      </c>
      <c r="R39" s="9">
        <f t="shared" si="13"/>
        <v>7897.0685992623203</v>
      </c>
      <c r="S39" s="9">
        <f t="shared" si="13"/>
        <v>7780.2877032446231</v>
      </c>
      <c r="T39" s="9">
        <f t="shared" si="13"/>
        <v>7663.401752261705</v>
      </c>
      <c r="U39" s="9">
        <f t="shared" si="13"/>
        <v>7546.3976438797663</v>
      </c>
      <c r="V39" s="12">
        <f t="shared" si="13"/>
        <v>7410.262159814758</v>
      </c>
    </row>
    <row r="40" spans="1:23" x14ac:dyDescent="0.2">
      <c r="A40" s="26" t="s">
        <v>21</v>
      </c>
      <c r="B40" s="27">
        <f>-B14+B16</f>
        <v>-120000</v>
      </c>
      <c r="C40" s="9">
        <f t="shared" ref="C40:V40" si="14">C39+C35</f>
        <v>9585.6479999999992</v>
      </c>
      <c r="D40" s="9">
        <f t="shared" si="14"/>
        <v>9528.0509463199996</v>
      </c>
      <c r="E40" s="9">
        <f t="shared" si="14"/>
        <v>9411.4247096957588</v>
      </c>
      <c r="F40" s="9">
        <f t="shared" si="14"/>
        <v>9294.8659085278887</v>
      </c>
      <c r="G40" s="9">
        <f t="shared" si="14"/>
        <v>9178.362836545195</v>
      </c>
      <c r="H40" s="9">
        <f t="shared" si="14"/>
        <v>9061.9037009070325</v>
      </c>
      <c r="I40" s="9">
        <f t="shared" si="14"/>
        <v>8945.4766202816027</v>
      </c>
      <c r="J40" s="9">
        <f t="shared" si="14"/>
        <v>8829.0696228997658</v>
      </c>
      <c r="K40" s="9">
        <f t="shared" si="14"/>
        <v>8712.6706445840027</v>
      </c>
      <c r="L40" s="9">
        <f t="shared" si="14"/>
        <v>8596.267526752119</v>
      </c>
      <c r="M40" s="9">
        <f t="shared" si="14"/>
        <v>8479.848014395262</v>
      </c>
      <c r="N40" s="9">
        <f t="shared" si="14"/>
        <v>6363.3997540298569</v>
      </c>
      <c r="O40" s="9">
        <f t="shared" si="14"/>
        <v>8246.9102916230404</v>
      </c>
      <c r="P40" s="9">
        <f t="shared" si="14"/>
        <v>8130.3670704911437</v>
      </c>
      <c r="Q40" s="9">
        <f t="shared" si="14"/>
        <v>8013.7574291708115</v>
      </c>
      <c r="R40" s="9">
        <f t="shared" si="14"/>
        <v>7897.0685992623203</v>
      </c>
      <c r="S40" s="9">
        <f t="shared" si="14"/>
        <v>7780.2877032446231</v>
      </c>
      <c r="T40" s="9">
        <f t="shared" si="14"/>
        <v>7663.401752261705</v>
      </c>
      <c r="U40" s="9">
        <f t="shared" si="14"/>
        <v>7546.3976438797663</v>
      </c>
      <c r="V40" s="12">
        <f t="shared" si="14"/>
        <v>7429.262159814758</v>
      </c>
      <c r="W40" s="3"/>
    </row>
    <row r="41" spans="1:23" x14ac:dyDescent="0.2">
      <c r="A41" s="44" t="s">
        <v>18</v>
      </c>
      <c r="B41" s="9"/>
      <c r="C41" s="27">
        <f t="shared" ref="C41:V41" si="15">C39*(1+$B$13)^-(C20-1)</f>
        <v>9585.6479999999992</v>
      </c>
      <c r="D41" s="27">
        <f t="shared" si="15"/>
        <v>9387.242311645321</v>
      </c>
      <c r="E41" s="27">
        <f t="shared" si="15"/>
        <v>9135.3099659741911</v>
      </c>
      <c r="F41" s="27">
        <f t="shared" si="15"/>
        <v>8888.8382228693335</v>
      </c>
      <c r="G41" s="27">
        <f t="shared" si="15"/>
        <v>8647.7087244426111</v>
      </c>
      <c r="H41" s="27">
        <f t="shared" si="15"/>
        <v>8411.8056781985342</v>
      </c>
      <c r="I41" s="27">
        <f t="shared" si="15"/>
        <v>8181.0158014297012</v>
      </c>
      <c r="J41" s="27">
        <f t="shared" si="15"/>
        <v>7955.2282668174339</v>
      </c>
      <c r="K41" s="27">
        <f t="shared" si="15"/>
        <v>7734.3346492115388</v>
      </c>
      <c r="L41" s="27">
        <f t="shared" si="15"/>
        <v>7518.2288735636057</v>
      </c>
      <c r="M41" s="27">
        <f t="shared" si="15"/>
        <v>7306.8071639888294</v>
      </c>
      <c r="N41" s="27">
        <f t="shared" si="15"/>
        <v>5402.1015274842739</v>
      </c>
      <c r="O41" s="27">
        <f t="shared" si="15"/>
        <v>6897.6120374132079</v>
      </c>
      <c r="P41" s="27">
        <f t="shared" si="15"/>
        <v>6699.6421213313461</v>
      </c>
      <c r="Q41" s="27">
        <f t="shared" si="15"/>
        <v>6505.963178800027</v>
      </c>
      <c r="R41" s="27">
        <f t="shared" si="15"/>
        <v>6316.4822034959889</v>
      </c>
      <c r="S41" s="27">
        <f t="shared" si="15"/>
        <v>6131.1082049965698</v>
      </c>
      <c r="T41" s="27">
        <f t="shared" si="15"/>
        <v>5949.752165085315</v>
      </c>
      <c r="U41" s="27">
        <f t="shared" si="15"/>
        <v>5772.3269950046479</v>
      </c>
      <c r="V41" s="11">
        <f t="shared" si="15"/>
        <v>5584.4289516196441</v>
      </c>
    </row>
    <row r="42" spans="1:23" ht="12" thickBot="1" x14ac:dyDescent="0.25">
      <c r="A42" s="45" t="s">
        <v>43</v>
      </c>
      <c r="B42" s="46">
        <f>-B14+B16</f>
        <v>-120000</v>
      </c>
      <c r="C42" s="47">
        <f>B42+C41</f>
        <v>-110414.352</v>
      </c>
      <c r="D42" s="47">
        <f>C42+D41</f>
        <v>-101027.10968835469</v>
      </c>
      <c r="E42" s="47">
        <f t="shared" ref="E42:V42" si="16">D42+E41</f>
        <v>-91891.7997223805</v>
      </c>
      <c r="F42" s="47">
        <f t="shared" si="16"/>
        <v>-83002.961499511162</v>
      </c>
      <c r="G42" s="47">
        <f t="shared" si="16"/>
        <v>-74355.252775068555</v>
      </c>
      <c r="H42" s="47">
        <f t="shared" si="16"/>
        <v>-65943.447096870019</v>
      </c>
      <c r="I42" s="47">
        <f t="shared" si="16"/>
        <v>-57762.431295440314</v>
      </c>
      <c r="J42" s="47">
        <f t="shared" si="16"/>
        <v>-49807.203028622884</v>
      </c>
      <c r="K42" s="47">
        <f t="shared" si="16"/>
        <v>-42072.868379411346</v>
      </c>
      <c r="L42" s="47">
        <f>K42+L41</f>
        <v>-34554.639505847743</v>
      </c>
      <c r="M42" s="47">
        <f>L42+M41</f>
        <v>-27247.832341858913</v>
      </c>
      <c r="N42" s="47">
        <f t="shared" si="16"/>
        <v>-21845.730814374641</v>
      </c>
      <c r="O42" s="47">
        <f t="shared" si="16"/>
        <v>-14948.118776961433</v>
      </c>
      <c r="P42" s="47">
        <f t="shared" si="16"/>
        <v>-8248.4766556300874</v>
      </c>
      <c r="Q42" s="47">
        <f>P42+Q41</f>
        <v>-1742.5134768300604</v>
      </c>
      <c r="R42" s="47">
        <f t="shared" si="16"/>
        <v>4573.9687266659284</v>
      </c>
      <c r="S42" s="47">
        <f t="shared" si="16"/>
        <v>10705.076931662497</v>
      </c>
      <c r="T42" s="47">
        <f t="shared" si="16"/>
        <v>16654.829096747813</v>
      </c>
      <c r="U42" s="47">
        <f t="shared" si="16"/>
        <v>22427.156091752462</v>
      </c>
      <c r="V42" s="48">
        <f t="shared" si="16"/>
        <v>28011.585043372106</v>
      </c>
    </row>
    <row r="45" spans="1:23" ht="15.75" customHeight="1" x14ac:dyDescent="0.2"/>
    <row r="46" spans="1:23" ht="30" customHeight="1" x14ac:dyDescent="0.2"/>
  </sheetData>
  <mergeCells count="10">
    <mergeCell ref="M8:S8"/>
    <mergeCell ref="M5:S5"/>
    <mergeCell ref="D1:K1"/>
    <mergeCell ref="E18:G18"/>
    <mergeCell ref="G2:K2"/>
    <mergeCell ref="M4:S4"/>
    <mergeCell ref="M2:T2"/>
    <mergeCell ref="M3:S3"/>
    <mergeCell ref="M6:S6"/>
    <mergeCell ref="M7:S7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6" sqref="C6:C17"/>
    </sheetView>
  </sheetViews>
  <sheetFormatPr baseColWidth="10" defaultRowHeight="15" x14ac:dyDescent="0.25"/>
  <cols>
    <col min="2" max="2" width="13.42578125" customWidth="1"/>
    <col min="4" max="4" width="18.28515625" customWidth="1"/>
  </cols>
  <sheetData>
    <row r="1" spans="1:5" x14ac:dyDescent="0.25">
      <c r="A1" t="s">
        <v>48</v>
      </c>
      <c r="B1" s="82">
        <v>0.01</v>
      </c>
    </row>
    <row r="2" spans="1:5" x14ac:dyDescent="0.25">
      <c r="A2" t="s">
        <v>47</v>
      </c>
      <c r="B2" s="81">
        <f>'Vente totale'!B18</f>
        <v>77000</v>
      </c>
    </row>
    <row r="3" spans="1:5" x14ac:dyDescent="0.25">
      <c r="A3" t="s">
        <v>6</v>
      </c>
      <c r="B3">
        <v>10</v>
      </c>
    </row>
    <row r="5" spans="1:5" x14ac:dyDescent="0.25">
      <c r="A5" t="s">
        <v>6</v>
      </c>
      <c r="B5" t="s">
        <v>49</v>
      </c>
      <c r="C5" t="s">
        <v>48</v>
      </c>
      <c r="D5" t="s">
        <v>50</v>
      </c>
      <c r="E5" t="s">
        <v>51</v>
      </c>
    </row>
    <row r="6" spans="1:5" x14ac:dyDescent="0.25">
      <c r="A6">
        <v>1</v>
      </c>
      <c r="B6" s="84">
        <f>B2</f>
        <v>77000</v>
      </c>
      <c r="C6" s="85">
        <f>B6*$B$1</f>
        <v>770</v>
      </c>
      <c r="D6" s="83">
        <f>E6+C6</f>
        <v>-7359.8198944401938</v>
      </c>
      <c r="E6" s="83">
        <f>PMT($B$1,$B$3,$B$6)</f>
        <v>-8129.8198944401938</v>
      </c>
    </row>
    <row r="7" spans="1:5" x14ac:dyDescent="0.25">
      <c r="A7">
        <v>2</v>
      </c>
      <c r="B7" s="84">
        <f>B6+D6</f>
        <v>69640.180105559804</v>
      </c>
      <c r="C7" s="85">
        <f>B7*$B$1</f>
        <v>696.40180105559807</v>
      </c>
      <c r="D7" s="83">
        <f>E7+C7</f>
        <v>-7433.4180933845955</v>
      </c>
      <c r="E7" s="83">
        <f>PMT($B$1,$B$3,$B$6)</f>
        <v>-8129.8198944401938</v>
      </c>
    </row>
    <row r="8" spans="1:5" x14ac:dyDescent="0.25">
      <c r="A8">
        <v>3</v>
      </c>
      <c r="B8" s="84">
        <f t="shared" ref="B8:B15" si="0">B7+D7</f>
        <v>62206.762012175212</v>
      </c>
      <c r="C8" s="85">
        <f t="shared" ref="C8:C15" si="1">B8*$B$1</f>
        <v>622.06762012175216</v>
      </c>
      <c r="D8" s="83">
        <f t="shared" ref="D8:D15" si="2">E8+C8</f>
        <v>-7507.7522743184418</v>
      </c>
      <c r="E8" s="83">
        <f t="shared" ref="E8:E15" si="3">PMT($B$1,$B$3,$B$6)</f>
        <v>-8129.8198944401938</v>
      </c>
    </row>
    <row r="9" spans="1:5" x14ac:dyDescent="0.25">
      <c r="A9">
        <v>4</v>
      </c>
      <c r="B9" s="84">
        <f t="shared" si="0"/>
        <v>54699.009737856773</v>
      </c>
      <c r="C9" s="85">
        <f t="shared" si="1"/>
        <v>546.99009737856773</v>
      </c>
      <c r="D9" s="83">
        <f t="shared" si="2"/>
        <v>-7582.8297970616259</v>
      </c>
      <c r="E9" s="83">
        <f t="shared" si="3"/>
        <v>-8129.8198944401938</v>
      </c>
    </row>
    <row r="10" spans="1:5" x14ac:dyDescent="0.25">
      <c r="A10">
        <v>5</v>
      </c>
      <c r="B10" s="84">
        <f t="shared" si="0"/>
        <v>47116.179940795148</v>
      </c>
      <c r="C10" s="85">
        <f t="shared" si="1"/>
        <v>471.16179940795149</v>
      </c>
      <c r="D10" s="83">
        <f t="shared" si="2"/>
        <v>-7658.6580950322423</v>
      </c>
      <c r="E10" s="83">
        <f t="shared" si="3"/>
        <v>-8129.8198944401938</v>
      </c>
    </row>
    <row r="11" spans="1:5" x14ac:dyDescent="0.25">
      <c r="A11">
        <v>6</v>
      </c>
      <c r="B11" s="84">
        <f t="shared" si="0"/>
        <v>39457.521845762909</v>
      </c>
      <c r="C11" s="85">
        <f t="shared" si="1"/>
        <v>394.57521845762909</v>
      </c>
      <c r="D11" s="83">
        <f t="shared" si="2"/>
        <v>-7735.2446759825643</v>
      </c>
      <c r="E11" s="83">
        <f t="shared" si="3"/>
        <v>-8129.8198944401938</v>
      </c>
    </row>
    <row r="12" spans="1:5" x14ac:dyDescent="0.25">
      <c r="A12">
        <v>7</v>
      </c>
      <c r="B12" s="84">
        <f t="shared" si="0"/>
        <v>31722.277169780344</v>
      </c>
      <c r="C12" s="85">
        <f t="shared" si="1"/>
        <v>317.22277169780347</v>
      </c>
      <c r="D12" s="83">
        <f t="shared" si="2"/>
        <v>-7812.5971227423906</v>
      </c>
      <c r="E12" s="83">
        <f t="shared" si="3"/>
        <v>-8129.8198944401938</v>
      </c>
    </row>
    <row r="13" spans="1:5" x14ac:dyDescent="0.25">
      <c r="A13">
        <v>8</v>
      </c>
      <c r="B13" s="84">
        <f t="shared" si="0"/>
        <v>23909.680047037953</v>
      </c>
      <c r="C13" s="85">
        <f t="shared" si="1"/>
        <v>239.09680047037955</v>
      </c>
      <c r="D13" s="83">
        <f t="shared" si="2"/>
        <v>-7890.7230939698147</v>
      </c>
      <c r="E13" s="83">
        <f t="shared" si="3"/>
        <v>-8129.8198944401938</v>
      </c>
    </row>
    <row r="14" spans="1:5" x14ac:dyDescent="0.25">
      <c r="A14">
        <v>9</v>
      </c>
      <c r="B14" s="84">
        <f t="shared" si="0"/>
        <v>16018.956953068138</v>
      </c>
      <c r="C14" s="85">
        <f t="shared" si="1"/>
        <v>160.18956953068138</v>
      </c>
      <c r="D14" s="83">
        <f t="shared" si="2"/>
        <v>-7969.6303249095126</v>
      </c>
      <c r="E14" s="83">
        <f t="shared" si="3"/>
        <v>-8129.8198944401938</v>
      </c>
    </row>
    <row r="15" spans="1:5" x14ac:dyDescent="0.25">
      <c r="A15">
        <v>10</v>
      </c>
      <c r="B15" s="84">
        <f t="shared" si="0"/>
        <v>8049.3266281586257</v>
      </c>
      <c r="C15" s="85">
        <f t="shared" si="1"/>
        <v>80.493266281586259</v>
      </c>
      <c r="D15" s="83">
        <f t="shared" si="2"/>
        <v>-8049.3266281586075</v>
      </c>
      <c r="E15" s="83">
        <f t="shared" si="3"/>
        <v>-8129.8198944401938</v>
      </c>
    </row>
    <row r="16" spans="1:5" x14ac:dyDescent="0.25">
      <c r="B16" s="81"/>
      <c r="D16" s="83"/>
      <c r="E16" s="83"/>
    </row>
    <row r="17" spans="2:5" x14ac:dyDescent="0.25">
      <c r="B17" s="81"/>
      <c r="D17" s="83"/>
      <c r="E17" s="83"/>
    </row>
    <row r="18" spans="2:5" x14ac:dyDescent="0.25">
      <c r="B18" s="81"/>
      <c r="D18" s="83"/>
      <c r="E18" s="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Vente totale</vt:lpstr>
      <vt:lpstr>Emprunt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2020-02-05T09:54:08Z</cp:lastPrinted>
  <dcterms:created xsi:type="dcterms:W3CDTF">2019-12-06T10:02:10Z</dcterms:created>
  <dcterms:modified xsi:type="dcterms:W3CDTF">2020-03-06T17:01:42Z</dcterms:modified>
</cp:coreProperties>
</file>