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3020"/>
  </bookViews>
  <sheets>
    <sheet name="Nettoyages" sheetId="7" r:id="rId1"/>
    <sheet name="Recap %" sheetId="6" r:id="rId2"/>
    <sheet name="Recap kWh" sheetId="5" r:id="rId3"/>
    <sheet name="Coeff's perfo" sheetId="4" r:id="rId4"/>
    <sheet name="Gain action" sheetId="3" r:id="rId5"/>
    <sheet name="Pertes" sheetId="2" r:id="rId6"/>
    <sheet name="Réglages pertes" sheetId="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Inter_net">'Gain action'!$M$4</definedName>
    <definedName name="Inter_tai">'Gain action'!$N$4</definedName>
    <definedName name="Nserv">'Coeff''s perfo'!$T$1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7" l="1"/>
  <c r="G16" i="7"/>
  <c r="G15" i="7"/>
  <c r="G14" i="7"/>
  <c r="G13" i="7"/>
  <c r="G12" i="7"/>
  <c r="G11" i="7"/>
  <c r="G10" i="7"/>
  <c r="G9" i="7"/>
  <c r="G8" i="7"/>
  <c r="G7" i="7"/>
  <c r="G6" i="7"/>
  <c r="G5" i="7"/>
  <c r="G4" i="7"/>
  <c r="H4" i="7" l="1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D13" i="7"/>
  <c r="D12" i="7"/>
  <c r="D11" i="7"/>
  <c r="D10" i="7"/>
  <c r="D9" i="7"/>
  <c r="D8" i="7"/>
  <c r="D7" i="7"/>
  <c r="D6" i="7"/>
  <c r="D5" i="7"/>
  <c r="D4" i="7"/>
  <c r="D16" i="7" l="1"/>
  <c r="D15" i="7"/>
  <c r="D14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N46" i="6" l="1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B46" i="6"/>
  <c r="C46" i="6"/>
  <c r="D46" i="6"/>
  <c r="E46" i="6"/>
  <c r="G46" i="6"/>
  <c r="H46" i="6"/>
  <c r="I46" i="6"/>
  <c r="J46" i="6"/>
  <c r="K46" i="6"/>
  <c r="L46" i="6"/>
  <c r="M46" i="6"/>
  <c r="O46" i="6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K33" i="1"/>
  <c r="J33" i="1"/>
  <c r="I33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AS19" i="1"/>
  <c r="AR19" i="1"/>
  <c r="AQ19" i="1"/>
  <c r="AP19" i="1"/>
  <c r="AO19" i="1"/>
  <c r="AN19" i="1"/>
  <c r="AM19" i="1"/>
  <c r="AL19" i="1"/>
  <c r="AK19" i="1"/>
  <c r="AJ19" i="1"/>
  <c r="AB19" i="1"/>
  <c r="AA19" i="1"/>
  <c r="Z19" i="1"/>
  <c r="Y19" i="1"/>
  <c r="X19" i="1"/>
  <c r="W19" i="1"/>
  <c r="V19" i="1"/>
  <c r="U19" i="1"/>
  <c r="T19" i="1"/>
  <c r="S19" i="1"/>
  <c r="AP18" i="1"/>
  <c r="AO18" i="1"/>
  <c r="AN18" i="1"/>
  <c r="AM18" i="1"/>
  <c r="AL18" i="1"/>
  <c r="AK18" i="1"/>
  <c r="AJ18" i="1"/>
  <c r="Y18" i="1"/>
  <c r="X18" i="1"/>
  <c r="W18" i="1"/>
  <c r="V18" i="1"/>
  <c r="U18" i="1"/>
  <c r="T18" i="1"/>
  <c r="S18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AS6" i="1"/>
  <c r="AR6" i="1"/>
  <c r="AQ6" i="1"/>
  <c r="AP6" i="1"/>
  <c r="AO6" i="1"/>
  <c r="AN6" i="1"/>
  <c r="AM6" i="1"/>
  <c r="AL6" i="1"/>
  <c r="AK6" i="1"/>
  <c r="AJ6" i="1"/>
  <c r="AB6" i="1"/>
  <c r="AA6" i="1"/>
  <c r="Z6" i="1"/>
  <c r="Y6" i="1"/>
  <c r="X6" i="1"/>
  <c r="W6" i="1"/>
  <c r="V6" i="1"/>
  <c r="U6" i="1"/>
  <c r="T6" i="1"/>
  <c r="S6" i="1"/>
  <c r="AP5" i="1"/>
  <c r="AO5" i="1"/>
  <c r="AN5" i="1"/>
  <c r="AM5" i="1"/>
  <c r="AL5" i="1"/>
  <c r="AK5" i="1"/>
  <c r="AJ5" i="1"/>
  <c r="Y5" i="1"/>
  <c r="X5" i="1"/>
  <c r="W5" i="1"/>
  <c r="V5" i="1"/>
  <c r="U5" i="1"/>
  <c r="T5" i="1"/>
  <c r="S5" i="1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C34" i="2"/>
  <c r="AB34" i="2"/>
  <c r="AA34" i="2"/>
  <c r="Z34" i="2"/>
  <c r="Y34" i="2"/>
  <c r="X34" i="2"/>
  <c r="W34" i="2"/>
  <c r="V34" i="2"/>
  <c r="U34" i="2"/>
  <c r="T34" i="2"/>
  <c r="K34" i="2"/>
  <c r="J34" i="2"/>
  <c r="I34" i="2"/>
  <c r="H34" i="2"/>
  <c r="G34" i="2"/>
  <c r="F34" i="2"/>
  <c r="E34" i="2"/>
  <c r="D34" i="2"/>
  <c r="C34" i="2"/>
  <c r="B34" i="2"/>
  <c r="Z33" i="2"/>
  <c r="Y33" i="2"/>
  <c r="X33" i="2"/>
  <c r="W33" i="2"/>
  <c r="V33" i="2"/>
  <c r="U33" i="2"/>
  <c r="T33" i="2"/>
  <c r="H33" i="2"/>
  <c r="G33" i="2"/>
  <c r="F33" i="2"/>
  <c r="E33" i="2"/>
  <c r="D33" i="2"/>
  <c r="C33" i="2"/>
  <c r="B33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C20" i="2"/>
  <c r="AB20" i="2"/>
  <c r="AA20" i="2"/>
  <c r="Z20" i="2"/>
  <c r="Y20" i="2"/>
  <c r="X20" i="2"/>
  <c r="W20" i="2"/>
  <c r="V20" i="2"/>
  <c r="U20" i="2"/>
  <c r="T20" i="2"/>
  <c r="K20" i="2"/>
  <c r="J20" i="2"/>
  <c r="I20" i="2"/>
  <c r="H20" i="2"/>
  <c r="G20" i="2"/>
  <c r="F20" i="2"/>
  <c r="E20" i="2"/>
  <c r="D20" i="2"/>
  <c r="C20" i="2"/>
  <c r="B20" i="2"/>
  <c r="Z19" i="2"/>
  <c r="Y19" i="2"/>
  <c r="X19" i="2"/>
  <c r="W19" i="2"/>
  <c r="V19" i="2"/>
  <c r="U19" i="2"/>
  <c r="T19" i="2"/>
  <c r="H19" i="2"/>
  <c r="G19" i="2"/>
  <c r="F19" i="2"/>
  <c r="E19" i="2"/>
  <c r="D19" i="2"/>
  <c r="C19" i="2"/>
  <c r="B19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C6" i="2"/>
  <c r="AB6" i="2"/>
  <c r="AA6" i="2"/>
  <c r="Z6" i="2"/>
  <c r="Y6" i="2"/>
  <c r="X6" i="2"/>
  <c r="W6" i="2"/>
  <c r="V6" i="2"/>
  <c r="U6" i="2"/>
  <c r="T6" i="2"/>
  <c r="K6" i="2"/>
  <c r="J6" i="2"/>
  <c r="I6" i="2"/>
  <c r="H6" i="2"/>
  <c r="G6" i="2"/>
  <c r="F6" i="2"/>
  <c r="E6" i="2"/>
  <c r="D6" i="2"/>
  <c r="C6" i="2"/>
  <c r="B6" i="2"/>
  <c r="Z5" i="2"/>
  <c r="Y5" i="2"/>
  <c r="X5" i="2"/>
  <c r="W5" i="2"/>
  <c r="V5" i="2"/>
  <c r="U5" i="2"/>
  <c r="T5" i="2"/>
  <c r="H5" i="2"/>
  <c r="G5" i="2"/>
  <c r="F5" i="2"/>
  <c r="E5" i="2"/>
  <c r="D5" i="2"/>
  <c r="C5" i="2"/>
  <c r="B5" i="2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M23" i="3"/>
  <c r="L23" i="3"/>
  <c r="K23" i="3"/>
  <c r="J23" i="3"/>
  <c r="I23" i="3"/>
  <c r="H23" i="3"/>
  <c r="G23" i="3"/>
  <c r="F23" i="3"/>
  <c r="E23" i="3"/>
  <c r="D23" i="3"/>
  <c r="C23" i="3"/>
  <c r="B23" i="3"/>
  <c r="H22" i="3"/>
  <c r="G22" i="3"/>
  <c r="F22" i="3"/>
  <c r="E22" i="3"/>
  <c r="D22" i="3"/>
  <c r="C22" i="3"/>
  <c r="B22" i="3"/>
  <c r="O17" i="3"/>
  <c r="O16" i="3"/>
  <c r="O15" i="3"/>
  <c r="N15" i="3"/>
  <c r="M15" i="3"/>
  <c r="L15" i="3"/>
  <c r="O14" i="3"/>
  <c r="N14" i="3"/>
  <c r="M14" i="3"/>
  <c r="L14" i="3"/>
  <c r="K14" i="3"/>
  <c r="J14" i="3"/>
  <c r="I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N9" i="3"/>
  <c r="M9" i="3"/>
  <c r="L9" i="3"/>
  <c r="K9" i="3"/>
  <c r="J9" i="3"/>
  <c r="I9" i="3"/>
  <c r="H9" i="3"/>
  <c r="G9" i="3"/>
  <c r="F9" i="3"/>
  <c r="E9" i="3"/>
  <c r="D9" i="3"/>
  <c r="C9" i="3"/>
  <c r="B9" i="3"/>
  <c r="M8" i="3"/>
  <c r="L8" i="3"/>
  <c r="K8" i="3"/>
  <c r="J8" i="3"/>
  <c r="I8" i="3"/>
  <c r="H8" i="3"/>
  <c r="G8" i="3"/>
  <c r="F8" i="3"/>
  <c r="E8" i="3"/>
  <c r="D8" i="3"/>
  <c r="C8" i="3"/>
  <c r="B8" i="3"/>
  <c r="H7" i="3"/>
  <c r="G7" i="3"/>
  <c r="F7" i="3"/>
  <c r="E7" i="3"/>
  <c r="D7" i="3"/>
  <c r="C7" i="3"/>
  <c r="B7" i="3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O29" i="5"/>
  <c r="N29" i="5"/>
  <c r="M29" i="5"/>
  <c r="L29" i="5"/>
  <c r="K29" i="5"/>
  <c r="J29" i="5"/>
  <c r="I29" i="5"/>
  <c r="H29" i="5"/>
  <c r="G29" i="5"/>
  <c r="E29" i="5"/>
  <c r="D29" i="5"/>
  <c r="C29" i="5"/>
  <c r="B29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M6" i="5"/>
  <c r="L6" i="5"/>
  <c r="K6" i="5"/>
  <c r="J6" i="5"/>
  <c r="I6" i="5"/>
  <c r="H6" i="5"/>
  <c r="G6" i="5"/>
  <c r="F6" i="5"/>
  <c r="E6" i="5"/>
  <c r="D6" i="5"/>
  <c r="C6" i="5"/>
  <c r="B6" i="5"/>
  <c r="M23" i="6"/>
  <c r="L23" i="6"/>
  <c r="K23" i="6"/>
  <c r="J23" i="6"/>
  <c r="I23" i="6"/>
  <c r="H23" i="6"/>
  <c r="G23" i="6"/>
  <c r="F23" i="6"/>
  <c r="E23" i="6"/>
  <c r="D23" i="6"/>
  <c r="C23" i="6"/>
  <c r="B23" i="6"/>
  <c r="M6" i="6"/>
  <c r="L6" i="6"/>
  <c r="K6" i="6"/>
  <c r="J6" i="6"/>
  <c r="I6" i="6"/>
  <c r="H6" i="6"/>
  <c r="G6" i="6"/>
  <c r="F6" i="6"/>
  <c r="E6" i="6"/>
  <c r="D6" i="6"/>
  <c r="C6" i="6"/>
  <c r="B6" i="6"/>
  <c r="F29" i="5" l="1"/>
  <c r="F4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H24" i="6" l="1"/>
  <c r="J24" i="6"/>
  <c r="L24" i="6"/>
  <c r="I24" i="6"/>
  <c r="K24" i="6"/>
  <c r="M24" i="6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AI23" i="4" l="1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AE4" i="4"/>
  <c r="AB5" i="4"/>
  <c r="AG6" i="4"/>
  <c r="AA6" i="4" l="1"/>
  <c r="AC4" i="4"/>
  <c r="AE6" i="4"/>
  <c r="AG4" i="4"/>
  <c r="AF5" i="4"/>
  <c r="AC6" i="4"/>
  <c r="AA4" i="4"/>
  <c r="AB6" i="4"/>
  <c r="AD6" i="4"/>
  <c r="AF6" i="4"/>
  <c r="AH6" i="4"/>
  <c r="AB4" i="4"/>
  <c r="AD4" i="4"/>
  <c r="AF4" i="4"/>
  <c r="AH4" i="4"/>
  <c r="AD5" i="4"/>
  <c r="AH5" i="4"/>
  <c r="AC29" i="4"/>
  <c r="AG29" i="4"/>
  <c r="AC31" i="4"/>
  <c r="AG31" i="4"/>
  <c r="AC33" i="4"/>
  <c r="AG33" i="4"/>
  <c r="AA5" i="4"/>
  <c r="AC28" i="4"/>
  <c r="AC5" i="4"/>
  <c r="AE5" i="4"/>
  <c r="AG28" i="4"/>
  <c r="AG5" i="4"/>
  <c r="AC30" i="4"/>
  <c r="AG30" i="4"/>
  <c r="AC32" i="4"/>
  <c r="AG32" i="4"/>
  <c r="AB28" i="4"/>
  <c r="AD28" i="4"/>
  <c r="AF28" i="4"/>
  <c r="AH28" i="4"/>
  <c r="AB29" i="4"/>
  <c r="AD29" i="4"/>
  <c r="AF29" i="4"/>
  <c r="AH29" i="4"/>
  <c r="AB30" i="4"/>
  <c r="AD30" i="4"/>
  <c r="AF30" i="4"/>
  <c r="AH30" i="4"/>
  <c r="AB31" i="4"/>
  <c r="AD31" i="4"/>
  <c r="AF31" i="4"/>
  <c r="AH31" i="4"/>
  <c r="AB32" i="4"/>
  <c r="AD32" i="4"/>
  <c r="AF32" i="4"/>
  <c r="AH32" i="4"/>
  <c r="AB33" i="4"/>
  <c r="AD33" i="4"/>
  <c r="AF33" i="4"/>
  <c r="AH33" i="4"/>
  <c r="AB34" i="4"/>
  <c r="AD34" i="4"/>
  <c r="AF34" i="4"/>
  <c r="AH34" i="4"/>
  <c r="AB35" i="4"/>
  <c r="AD35" i="4"/>
  <c r="AF35" i="4"/>
  <c r="AH35" i="4"/>
  <c r="AB36" i="4"/>
  <c r="AD36" i="4"/>
  <c r="AF36" i="4"/>
  <c r="AH36" i="4"/>
  <c r="AB37" i="4"/>
  <c r="AD37" i="4"/>
  <c r="AF37" i="4"/>
  <c r="AH37" i="4"/>
  <c r="AB38" i="4"/>
  <c r="AD38" i="4"/>
  <c r="AF38" i="4"/>
  <c r="AH38" i="4"/>
  <c r="AB39" i="4"/>
  <c r="AD39" i="4"/>
  <c r="AF39" i="4"/>
  <c r="AH39" i="4"/>
  <c r="AA33" i="4"/>
  <c r="AA32" i="4"/>
  <c r="AA31" i="4"/>
  <c r="AA30" i="4"/>
  <c r="AA29" i="4"/>
  <c r="AA28" i="4"/>
  <c r="AE33" i="4"/>
  <c r="AE32" i="4"/>
  <c r="AE31" i="4"/>
  <c r="AE30" i="4"/>
  <c r="AE29" i="4"/>
  <c r="AE28" i="4"/>
  <c r="AA34" i="4"/>
  <c r="AC34" i="4"/>
  <c r="AE34" i="4"/>
  <c r="AG34" i="4"/>
  <c r="AA35" i="4"/>
  <c r="AC35" i="4"/>
  <c r="AE35" i="4"/>
  <c r="AG35" i="4"/>
  <c r="AA36" i="4"/>
  <c r="AC36" i="4"/>
  <c r="AE36" i="4"/>
  <c r="AG36" i="4"/>
  <c r="AA37" i="4"/>
  <c r="AC37" i="4"/>
  <c r="AE37" i="4"/>
  <c r="AG37" i="4"/>
  <c r="AA38" i="4"/>
  <c r="AC38" i="4"/>
  <c r="AE38" i="4"/>
  <c r="AG38" i="4"/>
  <c r="AA39" i="4"/>
  <c r="AC39" i="4"/>
  <c r="AE39" i="4"/>
  <c r="AG39" i="4"/>
  <c r="H18" i="3" l="1"/>
  <c r="I18" i="3"/>
  <c r="K18" i="3"/>
  <c r="M18" i="3"/>
  <c r="O18" i="3"/>
  <c r="J29" i="3"/>
  <c r="L29" i="3"/>
  <c r="N29" i="3"/>
  <c r="J18" i="3"/>
  <c r="L18" i="3"/>
  <c r="N18" i="3"/>
  <c r="H29" i="3"/>
  <c r="I29" i="3"/>
  <c r="K29" i="3"/>
  <c r="M29" i="3"/>
  <c r="O29" i="3"/>
  <c r="AG24" i="4"/>
  <c r="AE25" i="4"/>
  <c r="AE26" i="4"/>
  <c r="AE24" i="4"/>
  <c r="AA25" i="4"/>
  <c r="AA26" i="4"/>
  <c r="AA24" i="4"/>
  <c r="AH26" i="4"/>
  <c r="AH25" i="4"/>
  <c r="AH24" i="4"/>
  <c r="AF26" i="4"/>
  <c r="AF25" i="4"/>
  <c r="AF24" i="4"/>
  <c r="AD26" i="4"/>
  <c r="AD25" i="4"/>
  <c r="AD24" i="4"/>
  <c r="AB26" i="4"/>
  <c r="AB25" i="4"/>
  <c r="AB24" i="4"/>
  <c r="AG25" i="4"/>
  <c r="AC25" i="4"/>
  <c r="AC24" i="4"/>
  <c r="AG26" i="4"/>
  <c r="AC26" i="4"/>
  <c r="AF43" i="2"/>
  <c r="AD43" i="2"/>
  <c r="N4" i="6"/>
  <c r="M4" i="6"/>
  <c r="L4" i="6"/>
  <c r="K4" i="6"/>
  <c r="J4" i="6"/>
  <c r="I4" i="6"/>
  <c r="H4" i="6"/>
  <c r="N29" i="2"/>
  <c r="L29" i="2"/>
  <c r="AF29" i="2"/>
  <c r="AD29" i="2"/>
  <c r="K29" i="2"/>
  <c r="J29" i="2"/>
  <c r="I29" i="2"/>
  <c r="N5" i="6"/>
  <c r="M5" i="6"/>
  <c r="L5" i="6"/>
  <c r="K5" i="6"/>
  <c r="J5" i="6"/>
  <c r="I5" i="6"/>
  <c r="H5" i="6"/>
  <c r="O15" i="2"/>
  <c r="AF15" i="2"/>
  <c r="AE15" i="2"/>
  <c r="AD15" i="2"/>
  <c r="N15" i="2"/>
  <c r="M15" i="2"/>
  <c r="L15" i="2"/>
  <c r="I7" i="1" l="1"/>
  <c r="I12" i="1"/>
  <c r="K12" i="1"/>
  <c r="M12" i="1"/>
  <c r="O12" i="1"/>
  <c r="P9" i="1"/>
  <c r="N11" i="1"/>
  <c r="I22" i="1"/>
  <c r="K22" i="1"/>
  <c r="M22" i="1"/>
  <c r="O22" i="1"/>
  <c r="M43" i="2"/>
  <c r="O43" i="2"/>
  <c r="E5" i="1"/>
  <c r="J6" i="1"/>
  <c r="I19" i="1"/>
  <c r="N7" i="1"/>
  <c r="L12" i="1"/>
  <c r="N12" i="1"/>
  <c r="I6" i="1"/>
  <c r="K6" i="1"/>
  <c r="M10" i="1"/>
  <c r="J12" i="1"/>
  <c r="J7" i="1"/>
  <c r="H19" i="1"/>
  <c r="H6" i="1"/>
  <c r="H12" i="1"/>
  <c r="H15" i="2"/>
  <c r="H43" i="2"/>
  <c r="J43" i="2"/>
  <c r="L43" i="2"/>
  <c r="N43" i="2"/>
  <c r="AE43" i="2"/>
  <c r="AG43" i="2"/>
  <c r="M8" i="1"/>
  <c r="I9" i="1"/>
  <c r="K9" i="1"/>
  <c r="M9" i="1"/>
  <c r="O9" i="1"/>
  <c r="H13" i="1"/>
  <c r="J13" i="1"/>
  <c r="L13" i="1"/>
  <c r="N13" i="1"/>
  <c r="I13" i="1"/>
  <c r="I26" i="1"/>
  <c r="K26" i="1"/>
  <c r="M26" i="1"/>
  <c r="O26" i="1"/>
  <c r="I8" i="1"/>
  <c r="K8" i="1"/>
  <c r="I10" i="1"/>
  <c r="N20" i="1"/>
  <c r="H23" i="1"/>
  <c r="J23" i="1"/>
  <c r="L23" i="1"/>
  <c r="N23" i="1"/>
  <c r="H24" i="1"/>
  <c r="J24" i="1"/>
  <c r="L24" i="1"/>
  <c r="N24" i="1"/>
  <c r="AG15" i="2"/>
  <c r="O5" i="6"/>
  <c r="AG29" i="2"/>
  <c r="O4" i="6"/>
  <c r="H9" i="1"/>
  <c r="L9" i="1"/>
  <c r="H11" i="1"/>
  <c r="J11" i="1"/>
  <c r="L11" i="1"/>
  <c r="E18" i="1"/>
  <c r="I23" i="1"/>
  <c r="O25" i="1"/>
  <c r="K13" i="1"/>
  <c r="M13" i="1"/>
  <c r="M21" i="1"/>
  <c r="H22" i="1"/>
  <c r="J22" i="1"/>
  <c r="L22" i="1"/>
  <c r="N22" i="1"/>
  <c r="B5" i="1"/>
  <c r="D5" i="1"/>
  <c r="F5" i="1"/>
  <c r="H5" i="1"/>
  <c r="K7" i="1"/>
  <c r="M7" i="1"/>
  <c r="H14" i="1"/>
  <c r="L14" i="1"/>
  <c r="I21" i="1"/>
  <c r="K21" i="1"/>
  <c r="I25" i="1"/>
  <c r="K25" i="1"/>
  <c r="M25" i="1"/>
  <c r="H27" i="1"/>
  <c r="J27" i="1"/>
  <c r="L27" i="1"/>
  <c r="N27" i="1"/>
  <c r="AB15" i="2"/>
  <c r="AB29" i="2"/>
  <c r="AB43" i="2"/>
  <c r="H7" i="1"/>
  <c r="L7" i="1"/>
  <c r="O13" i="1"/>
  <c r="K23" i="1"/>
  <c r="M23" i="1"/>
  <c r="O23" i="1"/>
  <c r="H26" i="1"/>
  <c r="J26" i="1"/>
  <c r="L26" i="1"/>
  <c r="N26" i="1"/>
  <c r="C5" i="1"/>
  <c r="G5" i="1"/>
  <c r="J9" i="1"/>
  <c r="N9" i="1"/>
  <c r="H10" i="1"/>
  <c r="J10" i="1"/>
  <c r="L10" i="1"/>
  <c r="N10" i="1"/>
  <c r="K10" i="1"/>
  <c r="O10" i="1"/>
  <c r="I20" i="1"/>
  <c r="K20" i="1"/>
  <c r="M20" i="1"/>
  <c r="H20" i="1"/>
  <c r="J20" i="1"/>
  <c r="L20" i="1"/>
  <c r="I27" i="1"/>
  <c r="K27" i="1"/>
  <c r="M27" i="1"/>
  <c r="O27" i="1"/>
  <c r="AC15" i="2"/>
  <c r="H29" i="2"/>
  <c r="H8" i="1"/>
  <c r="J8" i="1"/>
  <c r="L8" i="1"/>
  <c r="N8" i="1"/>
  <c r="I11" i="1"/>
  <c r="K11" i="1"/>
  <c r="M11" i="1"/>
  <c r="O11" i="1"/>
  <c r="I14" i="1"/>
  <c r="K14" i="1"/>
  <c r="M14" i="1"/>
  <c r="O14" i="1"/>
  <c r="J14" i="1"/>
  <c r="N14" i="1"/>
  <c r="B18" i="1"/>
  <c r="D18" i="1"/>
  <c r="F18" i="1"/>
  <c r="H18" i="1"/>
  <c r="C18" i="1"/>
  <c r="H21" i="1"/>
  <c r="J21" i="1"/>
  <c r="L21" i="1"/>
  <c r="N21" i="1"/>
  <c r="I24" i="1"/>
  <c r="K24" i="1"/>
  <c r="M24" i="1"/>
  <c r="O24" i="1"/>
  <c r="H25" i="1"/>
  <c r="J25" i="1"/>
  <c r="L25" i="1"/>
  <c r="N25" i="1"/>
  <c r="Z15" i="2"/>
  <c r="AA15" i="2"/>
  <c r="I15" i="2"/>
  <c r="K15" i="2"/>
  <c r="Z29" i="2"/>
  <c r="AA29" i="2"/>
  <c r="AC29" i="2"/>
  <c r="Z43" i="2"/>
  <c r="AA43" i="2"/>
  <c r="AC43" i="2"/>
  <c r="I43" i="2"/>
  <c r="K43" i="2"/>
  <c r="J15" i="2"/>
  <c r="AE29" i="2"/>
  <c r="M29" i="2"/>
  <c r="O29" i="2"/>
  <c r="Q33" i="2"/>
  <c r="AF13" i="3" l="1"/>
  <c r="AF28" i="3" l="1"/>
  <c r="AF27" i="3"/>
  <c r="AF26" i="3"/>
  <c r="AF25" i="3"/>
  <c r="AF29" i="3" l="1"/>
  <c r="AF10" i="3"/>
  <c r="AF12" i="3"/>
  <c r="AF11" i="3"/>
  <c r="AF18" i="3" l="1"/>
  <c r="O5" i="5"/>
  <c r="O4" i="5"/>
  <c r="AC9" i="3" l="1"/>
  <c r="AE9" i="3"/>
  <c r="AC23" i="3"/>
  <c r="AC24" i="3"/>
  <c r="AE24" i="3"/>
  <c r="AC25" i="3"/>
  <c r="AE25" i="3"/>
  <c r="AC26" i="3"/>
  <c r="AE26" i="3"/>
  <c r="AC27" i="3"/>
  <c r="AE27" i="3"/>
  <c r="AC28" i="3"/>
  <c r="AE28" i="3"/>
  <c r="AE29" i="3" l="1"/>
  <c r="AC29" i="3"/>
  <c r="AC13" i="3"/>
  <c r="AC12" i="3"/>
  <c r="AC11" i="3"/>
  <c r="AC10" i="3"/>
  <c r="AE13" i="3"/>
  <c r="AE12" i="3"/>
  <c r="AE11" i="3"/>
  <c r="AE10" i="3"/>
  <c r="AC8" i="3"/>
  <c r="AC18" i="3" l="1"/>
  <c r="AE18" i="3"/>
  <c r="N5" i="5"/>
  <c r="N4" i="5" l="1"/>
  <c r="L5" i="5" l="1"/>
  <c r="L4" i="5" l="1"/>
  <c r="M5" i="5" l="1"/>
  <c r="M4" i="5" l="1"/>
  <c r="AD23" i="3" l="1"/>
  <c r="AD8" i="3" l="1"/>
  <c r="AD9" i="3" l="1"/>
  <c r="AD24" i="3" l="1"/>
  <c r="AD10" i="3" l="1"/>
  <c r="AD25" i="3"/>
  <c r="AD26" i="3" l="1"/>
  <c r="AD11" i="3" l="1"/>
  <c r="AD27" i="3" l="1"/>
  <c r="AD12" i="3" l="1"/>
  <c r="AD13" i="3" l="1"/>
  <c r="AD18" i="3" s="1"/>
  <c r="AD28" i="3"/>
  <c r="AD29" i="3" s="1"/>
  <c r="H5" i="5" l="1"/>
  <c r="Y22" i="3" l="1"/>
  <c r="Y7" i="3" l="1"/>
  <c r="H4" i="5" l="1"/>
  <c r="Y23" i="3" l="1"/>
  <c r="Y8" i="3" l="1"/>
  <c r="Y9" i="3" l="1"/>
  <c r="Y24" i="3"/>
  <c r="Y25" i="3" l="1"/>
  <c r="Y10" i="3" l="1"/>
  <c r="Y26" i="3" l="1"/>
  <c r="Y11" i="3" l="1"/>
  <c r="Y27" i="3"/>
  <c r="Y12" i="3" l="1"/>
  <c r="Y13" i="3" l="1"/>
  <c r="Y18" i="3" s="1"/>
  <c r="Y28" i="3"/>
  <c r="Y29" i="3" s="1"/>
  <c r="K5" i="5" l="1"/>
  <c r="K4" i="5" l="1"/>
  <c r="AB23" i="3" l="1"/>
  <c r="AB8" i="3" l="1"/>
  <c r="AB24" i="3"/>
  <c r="AB9" i="3"/>
  <c r="AB25" i="3" l="1"/>
  <c r="AB10" i="3" l="1"/>
  <c r="AB26" i="3"/>
  <c r="AB11" i="3" l="1"/>
  <c r="AB27" i="3"/>
  <c r="AB13" i="3" l="1"/>
  <c r="AB12" i="3"/>
  <c r="AB28" i="3"/>
  <c r="AB29" i="3" s="1"/>
  <c r="AB18" i="3" l="1"/>
  <c r="J5" i="5"/>
  <c r="J4" i="5" l="1"/>
  <c r="AA23" i="3" l="1"/>
  <c r="AA8" i="3" l="1"/>
  <c r="AA24" i="3"/>
  <c r="AA9" i="3"/>
  <c r="AA25" i="3" l="1"/>
  <c r="AA10" i="3" l="1"/>
  <c r="AA26" i="3"/>
  <c r="AA11" i="3" l="1"/>
  <c r="AA27" i="3"/>
  <c r="AA13" i="3" l="1"/>
  <c r="AA12" i="3"/>
  <c r="AA28" i="3"/>
  <c r="AA29" i="3" s="1"/>
  <c r="AA18" i="3" l="1"/>
  <c r="I5" i="5"/>
  <c r="I4" i="5" l="1"/>
  <c r="Z23" i="3" l="1"/>
  <c r="Z8" i="3" l="1"/>
  <c r="Z24" i="3"/>
  <c r="Z9" i="3"/>
  <c r="Z25" i="3" l="1"/>
  <c r="Z10" i="3" l="1"/>
  <c r="Z26" i="3"/>
  <c r="Z11" i="3" l="1"/>
  <c r="Z27" i="3"/>
  <c r="Z12" i="3" l="1"/>
  <c r="Z13" i="3"/>
  <c r="Z28" i="3"/>
  <c r="Z29" i="3" s="1"/>
  <c r="Z18" i="3" l="1"/>
  <c r="G18" i="1" l="1"/>
  <c r="G6" i="1" l="1"/>
  <c r="Q36" i="2"/>
  <c r="Q35" i="2"/>
  <c r="Q34" i="2"/>
  <c r="G8" i="1"/>
  <c r="Q5" i="2"/>
  <c r="G9" i="1" l="1"/>
  <c r="G19" i="1"/>
  <c r="G11" i="1" l="1"/>
  <c r="G7" i="1"/>
  <c r="G12" i="1" l="1"/>
  <c r="G10" i="1"/>
  <c r="G13" i="1" l="1"/>
  <c r="G20" i="1"/>
  <c r="G14" i="1" l="1"/>
  <c r="G24" i="6" l="1"/>
  <c r="G21" i="1"/>
  <c r="G22" i="1" l="1"/>
  <c r="Q19" i="2" l="1"/>
  <c r="G23" i="1"/>
  <c r="Z37" i="4" l="1"/>
  <c r="Z39" i="4"/>
  <c r="Z38" i="4"/>
  <c r="Z33" i="4" l="1"/>
  <c r="Z32" i="4"/>
  <c r="Z31" i="4"/>
  <c r="Z36" i="4"/>
  <c r="Z34" i="4"/>
  <c r="Z35" i="4"/>
  <c r="Z30" i="4"/>
  <c r="Z29" i="4"/>
  <c r="G24" i="1"/>
  <c r="X7" i="3" l="1"/>
  <c r="X22" i="3"/>
  <c r="Q37" i="2" l="1"/>
  <c r="Z6" i="4"/>
  <c r="Z28" i="4"/>
  <c r="Z4" i="4"/>
  <c r="Z5" i="4"/>
  <c r="G25" i="1"/>
  <c r="Z25" i="4" l="1"/>
  <c r="Z26" i="4"/>
  <c r="Z24" i="4"/>
  <c r="G5" i="6" l="1"/>
  <c r="G5" i="5"/>
  <c r="G26" i="1" l="1"/>
  <c r="G4" i="6"/>
  <c r="G4" i="5" l="1"/>
  <c r="G27" i="1" l="1"/>
  <c r="X23" i="3" l="1"/>
  <c r="X8" i="3"/>
  <c r="X24" i="3" l="1"/>
  <c r="X9" i="3"/>
  <c r="X25" i="3" l="1"/>
  <c r="X10" i="3" l="1"/>
  <c r="X26" i="3"/>
  <c r="G43" i="2" l="1"/>
  <c r="Y43" i="2"/>
  <c r="X11" i="3" l="1"/>
  <c r="Y15" i="2"/>
  <c r="G15" i="2" l="1"/>
  <c r="Y29" i="2" l="1"/>
  <c r="X27" i="3" l="1"/>
  <c r="G29" i="2"/>
  <c r="X12" i="3" l="1"/>
  <c r="X28" i="3" l="1"/>
  <c r="G29" i="3"/>
  <c r="X29" i="3" l="1"/>
  <c r="X13" i="3"/>
  <c r="G18" i="3"/>
  <c r="X18" i="3" l="1"/>
  <c r="F8" i="1" l="1"/>
  <c r="F6" i="1"/>
  <c r="F9" i="1" l="1"/>
  <c r="F7" i="1"/>
  <c r="F10" i="1" l="1"/>
  <c r="F11" i="1" l="1"/>
  <c r="F12" i="1" l="1"/>
  <c r="F13" i="1" l="1"/>
  <c r="F14" i="1" l="1"/>
  <c r="F19" i="1" l="1"/>
  <c r="F24" i="6" l="1"/>
  <c r="F20" i="1" l="1"/>
  <c r="F21" i="1" l="1"/>
  <c r="F22" i="1" l="1"/>
  <c r="F23" i="1" l="1"/>
  <c r="Y37" i="4" l="1"/>
  <c r="Y38" i="4"/>
  <c r="Y31" i="4" l="1"/>
  <c r="F24" i="1"/>
  <c r="Y34" i="4" l="1"/>
  <c r="Y32" i="4"/>
  <c r="Y29" i="4"/>
  <c r="Y36" i="4"/>
  <c r="Y30" i="4"/>
  <c r="Y35" i="4"/>
  <c r="Y33" i="4"/>
  <c r="Y39" i="4" l="1"/>
  <c r="Y4" i="4"/>
  <c r="Y6" i="4"/>
  <c r="Y28" i="4"/>
  <c r="Y5" i="4"/>
  <c r="F25" i="1" l="1"/>
  <c r="Y25" i="4"/>
  <c r="Y26" i="4"/>
  <c r="Y24" i="4"/>
  <c r="W7" i="3" l="1"/>
  <c r="W22" i="3"/>
  <c r="F5" i="5" l="1"/>
  <c r="F5" i="6"/>
  <c r="F26" i="1"/>
  <c r="F4" i="6" l="1"/>
  <c r="F4" i="5"/>
  <c r="F27" i="1" l="1"/>
  <c r="W8" i="3" l="1"/>
  <c r="W23" i="3"/>
  <c r="W9" i="3" l="1"/>
  <c r="W24" i="3"/>
  <c r="F43" i="2" l="1"/>
  <c r="W25" i="3" l="1"/>
  <c r="W10" i="3"/>
  <c r="X43" i="2"/>
  <c r="F15" i="2" l="1"/>
  <c r="X15" i="2"/>
  <c r="W11" i="3" l="1"/>
  <c r="W26" i="3" l="1"/>
  <c r="X29" i="2"/>
  <c r="F29" i="2"/>
  <c r="W27" i="3" l="1"/>
  <c r="W12" i="3"/>
  <c r="W28" i="3"/>
  <c r="W29" i="3" l="1"/>
  <c r="F29" i="3"/>
  <c r="W13" i="3" l="1"/>
  <c r="W18" i="3" s="1"/>
  <c r="F18" i="3"/>
  <c r="E6" i="1" l="1"/>
  <c r="E7" i="1"/>
  <c r="E8" i="1"/>
  <c r="E9" i="1" l="1"/>
  <c r="E10" i="1" l="1"/>
  <c r="E11" i="1" l="1"/>
  <c r="E12" i="1" l="1"/>
  <c r="E13" i="1" l="1"/>
  <c r="E14" i="1" l="1"/>
  <c r="E19" i="1" l="1"/>
  <c r="E24" i="6" l="1"/>
  <c r="E20" i="1" l="1"/>
  <c r="E21" i="1" l="1"/>
  <c r="E22" i="1" l="1"/>
  <c r="E23" i="1" l="1"/>
  <c r="X39" i="4" l="1"/>
  <c r="X38" i="4"/>
  <c r="X37" i="4"/>
  <c r="E24" i="1"/>
  <c r="X29" i="4" l="1"/>
  <c r="X32" i="4" l="1"/>
  <c r="X35" i="4"/>
  <c r="X36" i="4"/>
  <c r="X31" i="4"/>
  <c r="X34" i="4"/>
  <c r="X30" i="4"/>
  <c r="X33" i="4"/>
  <c r="E25" i="1" l="1"/>
  <c r="V7" i="3" l="1"/>
  <c r="X28" i="4" l="1"/>
  <c r="X5" i="4"/>
  <c r="X6" i="4"/>
  <c r="X4" i="4"/>
  <c r="E26" i="1"/>
  <c r="V22" i="3"/>
  <c r="X25" i="4" l="1"/>
  <c r="X24" i="4"/>
  <c r="X26" i="4"/>
  <c r="E5" i="5"/>
  <c r="E5" i="6" l="1"/>
  <c r="E27" i="1"/>
  <c r="E4" i="5" l="1"/>
  <c r="E4" i="6"/>
  <c r="V23" i="3" l="1"/>
  <c r="V8" i="3"/>
  <c r="V24" i="3" l="1"/>
  <c r="V9" i="3"/>
  <c r="E43" i="2" l="1"/>
  <c r="V25" i="3" l="1"/>
  <c r="V10" i="3"/>
  <c r="W43" i="2"/>
  <c r="E15" i="2" l="1"/>
  <c r="W15" i="2"/>
  <c r="V26" i="3" l="1"/>
  <c r="V11" i="3"/>
  <c r="V12" i="3"/>
  <c r="V27" i="3"/>
  <c r="E29" i="2" l="1"/>
  <c r="W29" i="2"/>
  <c r="V28" i="3" l="1"/>
  <c r="V29" i="3" s="1"/>
  <c r="E29" i="3"/>
  <c r="V13" i="3"/>
  <c r="V18" i="3" s="1"/>
  <c r="E18" i="3"/>
  <c r="D6" i="1" l="1"/>
  <c r="D8" i="1"/>
  <c r="D7" i="1" l="1"/>
  <c r="D9" i="1"/>
  <c r="D10" i="1" l="1"/>
  <c r="D11" i="1" l="1"/>
  <c r="D12" i="1" l="1"/>
  <c r="D13" i="1" l="1"/>
  <c r="D14" i="1"/>
  <c r="D19" i="1" l="1"/>
  <c r="D20" i="1" l="1"/>
  <c r="D24" i="6" l="1"/>
  <c r="D21" i="1" l="1"/>
  <c r="D22" i="1" l="1"/>
  <c r="D23" i="1" l="1"/>
  <c r="W38" i="4" l="1"/>
  <c r="W39" i="4"/>
  <c r="W37" i="4"/>
  <c r="W31" i="4" l="1"/>
  <c r="D24" i="1"/>
  <c r="W32" i="4" l="1"/>
  <c r="W36" i="4"/>
  <c r="W30" i="4"/>
  <c r="W29" i="4"/>
  <c r="W34" i="4"/>
  <c r="W35" i="4"/>
  <c r="W33" i="4"/>
  <c r="D25" i="1"/>
  <c r="U22" i="3" l="1"/>
  <c r="U7" i="3"/>
  <c r="W6" i="4" l="1"/>
  <c r="W4" i="4"/>
  <c r="W5" i="4"/>
  <c r="W28" i="4"/>
  <c r="D26" i="1"/>
  <c r="W25" i="4" l="1"/>
  <c r="W26" i="4"/>
  <c r="W24" i="4"/>
  <c r="D5" i="6" l="1"/>
  <c r="D5" i="5"/>
  <c r="D27" i="1" l="1"/>
  <c r="D4" i="5"/>
  <c r="D4" i="6"/>
  <c r="U8" i="3" l="1"/>
  <c r="U23" i="3"/>
  <c r="U24" i="3"/>
  <c r="U9" i="3"/>
  <c r="U10" i="3" l="1"/>
  <c r="U25" i="3"/>
  <c r="U11" i="3"/>
  <c r="U26" i="3"/>
  <c r="D43" i="2" l="1"/>
  <c r="V43" i="2" l="1"/>
  <c r="D15" i="2" l="1"/>
  <c r="V15" i="2"/>
  <c r="U27" i="3" l="1"/>
  <c r="U12" i="3"/>
  <c r="D29" i="2"/>
  <c r="V29" i="2"/>
  <c r="U13" i="3" l="1"/>
  <c r="U18" i="3" s="1"/>
  <c r="D18" i="3"/>
  <c r="U28" i="3"/>
  <c r="U29" i="3" s="1"/>
  <c r="D29" i="3"/>
  <c r="C7" i="1" l="1"/>
  <c r="C6" i="1"/>
  <c r="C8" i="1"/>
  <c r="C9" i="1"/>
  <c r="C10" i="1" l="1"/>
  <c r="C11" i="1" l="1"/>
  <c r="C19" i="1"/>
  <c r="C12" i="1" l="1"/>
  <c r="C13" i="1" l="1"/>
  <c r="C14" i="1" l="1"/>
  <c r="C24" i="6"/>
  <c r="C20" i="1"/>
  <c r="C21" i="1" l="1"/>
  <c r="C22" i="1" l="1"/>
  <c r="C23" i="1" l="1"/>
  <c r="V38" i="4" l="1"/>
  <c r="V37" i="4"/>
  <c r="V39" i="4" l="1"/>
  <c r="V31" i="4" l="1"/>
  <c r="V30" i="4"/>
  <c r="V29" i="4"/>
  <c r="V35" i="4"/>
  <c r="V36" i="4"/>
  <c r="V32" i="4"/>
  <c r="V34" i="4"/>
  <c r="C24" i="1"/>
  <c r="V33" i="4" l="1"/>
  <c r="C25" i="1"/>
  <c r="V6" i="4" l="1"/>
  <c r="V4" i="4"/>
  <c r="V5" i="4"/>
  <c r="V28" i="4"/>
  <c r="C26" i="1"/>
  <c r="T22" i="3"/>
  <c r="T7" i="3"/>
  <c r="V26" i="4" l="1"/>
  <c r="V24" i="4"/>
  <c r="V25" i="4"/>
  <c r="C5" i="5"/>
  <c r="C5" i="6" l="1"/>
  <c r="C27" i="1" l="1"/>
  <c r="C4" i="5"/>
  <c r="C4" i="6"/>
  <c r="T8" i="3" l="1"/>
  <c r="T23" i="3" l="1"/>
  <c r="T9" i="3" l="1"/>
  <c r="T24" i="3"/>
  <c r="T10" i="3" l="1"/>
  <c r="T25" i="3"/>
  <c r="C43" i="2" l="1"/>
  <c r="T26" i="3" l="1"/>
  <c r="T11" i="3"/>
  <c r="U43" i="2"/>
  <c r="U15" i="2" l="1"/>
  <c r="T12" i="3" l="1"/>
  <c r="T27" i="3" l="1"/>
  <c r="C29" i="2"/>
  <c r="U29" i="2"/>
  <c r="T28" i="3" l="1"/>
  <c r="T29" i="3" s="1"/>
  <c r="C29" i="3"/>
  <c r="T13" i="3"/>
  <c r="T18" i="3" s="1"/>
  <c r="C18" i="3"/>
  <c r="B6" i="1" l="1"/>
  <c r="B8" i="1"/>
  <c r="B9" i="1" l="1"/>
  <c r="B7" i="1" l="1"/>
  <c r="B10" i="1"/>
  <c r="B19" i="1"/>
  <c r="B11" i="1" l="1"/>
  <c r="B12" i="1" l="1"/>
  <c r="B20" i="1"/>
  <c r="B13" i="1" l="1"/>
  <c r="B14" i="1" l="1"/>
  <c r="B21" i="1" l="1"/>
  <c r="Q6" i="2"/>
  <c r="B24" i="6" l="1"/>
  <c r="Q8" i="2"/>
  <c r="C15" i="2" l="1"/>
  <c r="B22" i="1" l="1"/>
  <c r="Q20" i="2"/>
  <c r="Q7" i="2"/>
  <c r="U38" i="4" l="1"/>
  <c r="Q21" i="2"/>
  <c r="B23" i="1" l="1"/>
  <c r="U37" i="4"/>
  <c r="U39" i="4" l="1"/>
  <c r="B24" i="1"/>
  <c r="U30" i="4" l="1"/>
  <c r="U32" i="4"/>
  <c r="U35" i="4"/>
  <c r="U29" i="4"/>
  <c r="U33" i="4"/>
  <c r="U34" i="4"/>
  <c r="U36" i="4"/>
  <c r="Q22" i="2" l="1"/>
  <c r="U31" i="4"/>
  <c r="B25" i="1" l="1"/>
  <c r="S7" i="3" l="1"/>
  <c r="AH7" i="3" s="1"/>
  <c r="Q7" i="3"/>
  <c r="S22" i="3"/>
  <c r="AH22" i="3" s="1"/>
  <c r="Q22" i="3"/>
  <c r="U4" i="4" l="1"/>
  <c r="U6" i="4"/>
  <c r="U5" i="4"/>
  <c r="U28" i="4"/>
  <c r="U25" i="4" l="1"/>
  <c r="U26" i="4"/>
  <c r="U24" i="4"/>
  <c r="B26" i="1"/>
  <c r="B27" i="1" l="1"/>
  <c r="B5" i="6" l="1"/>
  <c r="B5" i="5" l="1"/>
  <c r="B4" i="6"/>
  <c r="B4" i="5" l="1"/>
  <c r="S8" i="3" l="1"/>
  <c r="Q8" i="3"/>
  <c r="S23" i="3" l="1"/>
  <c r="Q23" i="3"/>
  <c r="B43" i="2"/>
  <c r="AH8" i="3"/>
  <c r="T43" i="2"/>
  <c r="T15" i="2"/>
  <c r="S9" i="3" l="1"/>
  <c r="Q9" i="3"/>
  <c r="AH23" i="3"/>
  <c r="S24" i="3" l="1"/>
  <c r="Q24" i="3"/>
  <c r="B15" i="2"/>
  <c r="S25" i="3"/>
  <c r="AH9" i="3"/>
  <c r="T29" i="2"/>
  <c r="S10" i="3" l="1"/>
  <c r="B29" i="2"/>
  <c r="AH24" i="3"/>
  <c r="S26" i="3" l="1"/>
  <c r="S11" i="3"/>
  <c r="S27" i="3"/>
  <c r="S12" i="3" l="1"/>
  <c r="S28" i="3" l="1"/>
  <c r="B29" i="3"/>
  <c r="S13" i="3" l="1"/>
  <c r="B18" i="3"/>
  <c r="S29" i="3"/>
  <c r="S18" i="3" l="1"/>
  <c r="P28" i="5" l="1"/>
  <c r="P45" i="6"/>
  <c r="AG22" i="1" l="1"/>
  <c r="AX10" i="1"/>
  <c r="AG10" i="1"/>
  <c r="P10" i="1" s="1"/>
  <c r="AX11" i="1" l="1"/>
  <c r="AG11" i="1"/>
  <c r="P11" i="1" s="1"/>
  <c r="AG12" i="1" l="1"/>
  <c r="AX12" i="1"/>
  <c r="AG13" i="1" l="1"/>
  <c r="P12" i="1"/>
  <c r="AX13" i="1"/>
  <c r="AX14" i="1" l="1"/>
  <c r="AG14" i="1"/>
  <c r="P14" i="1" s="1"/>
  <c r="P13" i="1"/>
  <c r="G18" i="7" l="1"/>
  <c r="AI17" i="4" l="1"/>
  <c r="AI37" i="4" l="1"/>
  <c r="T17" i="4"/>
  <c r="B17" i="4" l="1"/>
  <c r="J17" i="4"/>
  <c r="L17" i="4"/>
  <c r="K17" i="4"/>
  <c r="H17" i="4"/>
  <c r="E17" i="4"/>
  <c r="C17" i="4"/>
  <c r="G17" i="4"/>
  <c r="M17" i="4"/>
  <c r="I17" i="4"/>
  <c r="N17" i="4"/>
  <c r="O17" i="4"/>
  <c r="F17" i="4"/>
  <c r="D17" i="4"/>
  <c r="P17" i="4"/>
  <c r="T37" i="4"/>
  <c r="P37" i="4" s="1"/>
  <c r="B37" i="4" l="1"/>
  <c r="L37" i="4"/>
  <c r="N37" i="4"/>
  <c r="K37" i="4"/>
  <c r="M37" i="4"/>
  <c r="E37" i="4"/>
  <c r="C37" i="4"/>
  <c r="G37" i="4"/>
  <c r="H37" i="4"/>
  <c r="O37" i="4"/>
  <c r="I37" i="4"/>
  <c r="J37" i="4"/>
  <c r="F37" i="4"/>
  <c r="D37" i="4"/>
  <c r="Q17" i="4"/>
  <c r="Q37" i="4" l="1"/>
  <c r="AI18" i="4" l="1"/>
  <c r="AI38" i="4" l="1"/>
  <c r="T18" i="4"/>
  <c r="B18" i="4" l="1"/>
  <c r="L18" i="4"/>
  <c r="I18" i="4"/>
  <c r="N18" i="4"/>
  <c r="O18" i="4"/>
  <c r="E18" i="4"/>
  <c r="C18" i="4"/>
  <c r="G18" i="4"/>
  <c r="J18" i="4"/>
  <c r="H18" i="4"/>
  <c r="M18" i="4"/>
  <c r="K18" i="4"/>
  <c r="F18" i="4"/>
  <c r="D18" i="4"/>
  <c r="P18" i="4"/>
  <c r="T38" i="4"/>
  <c r="B38" i="4" l="1"/>
  <c r="N38" i="4"/>
  <c r="L38" i="4"/>
  <c r="O38" i="4"/>
  <c r="M38" i="4"/>
  <c r="C38" i="4"/>
  <c r="G38" i="4"/>
  <c r="H38" i="4"/>
  <c r="J38" i="4"/>
  <c r="K38" i="4"/>
  <c r="I38" i="4"/>
  <c r="F38" i="4"/>
  <c r="D38" i="4"/>
  <c r="E38" i="4"/>
  <c r="P38" i="4"/>
  <c r="Q18" i="4"/>
  <c r="Q38" i="4" l="1"/>
  <c r="F18" i="7" l="1"/>
  <c r="AX22" i="1"/>
  <c r="P22" i="1" s="1"/>
  <c r="AG23" i="1" l="1"/>
  <c r="AX23" i="1" l="1"/>
  <c r="P23" i="1" s="1"/>
  <c r="AH9" i="2"/>
  <c r="P5" i="6" s="1"/>
  <c r="AI14" i="4" l="1"/>
  <c r="AI11" i="4"/>
  <c r="AI12" i="4"/>
  <c r="AI15" i="4"/>
  <c r="AI9" i="4"/>
  <c r="AI16" i="4"/>
  <c r="P9" i="2" l="1"/>
  <c r="AI36" i="4"/>
  <c r="T16" i="4"/>
  <c r="P16" i="4" s="1"/>
  <c r="AI35" i="4"/>
  <c r="T15" i="4"/>
  <c r="P15" i="4" s="1"/>
  <c r="AI32" i="4"/>
  <c r="T12" i="4"/>
  <c r="P12" i="4" s="1"/>
  <c r="AI31" i="4"/>
  <c r="T11" i="4"/>
  <c r="P11" i="4" s="1"/>
  <c r="AI34" i="4"/>
  <c r="T14" i="4"/>
  <c r="P14" i="4" s="1"/>
  <c r="AX24" i="1"/>
  <c r="AG24" i="1"/>
  <c r="P24" i="1" s="1"/>
  <c r="AI29" i="4"/>
  <c r="T9" i="4"/>
  <c r="P9" i="4" s="1"/>
  <c r="AI13" i="4"/>
  <c r="AI10" i="4"/>
  <c r="AI19" i="4"/>
  <c r="AI39" i="4" l="1"/>
  <c r="T19" i="4"/>
  <c r="P5" i="5"/>
  <c r="Q9" i="2"/>
  <c r="AI33" i="4"/>
  <c r="T13" i="4"/>
  <c r="P13" i="4" s="1"/>
  <c r="T29" i="4"/>
  <c r="P29" i="4" s="1"/>
  <c r="G14" i="4"/>
  <c r="N14" i="4"/>
  <c r="L14" i="4"/>
  <c r="K14" i="4"/>
  <c r="H14" i="4"/>
  <c r="F14" i="4"/>
  <c r="D14" i="4"/>
  <c r="J14" i="4"/>
  <c r="M14" i="4"/>
  <c r="I14" i="4"/>
  <c r="O14" i="4"/>
  <c r="E14" i="4"/>
  <c r="C14" i="4"/>
  <c r="B14" i="4"/>
  <c r="T31" i="4"/>
  <c r="P31" i="4" s="1"/>
  <c r="G12" i="4"/>
  <c r="M12" i="4"/>
  <c r="L12" i="4"/>
  <c r="K12" i="4"/>
  <c r="H12" i="4"/>
  <c r="F12" i="4"/>
  <c r="D12" i="4"/>
  <c r="I12" i="4"/>
  <c r="J12" i="4"/>
  <c r="N12" i="4"/>
  <c r="O12" i="4"/>
  <c r="E12" i="4"/>
  <c r="C12" i="4"/>
  <c r="B12" i="4"/>
  <c r="Q12" i="4" s="1"/>
  <c r="T35" i="4"/>
  <c r="P35" i="4"/>
  <c r="B16" i="4"/>
  <c r="I16" i="4"/>
  <c r="M16" i="4"/>
  <c r="N16" i="4"/>
  <c r="O16" i="4"/>
  <c r="E16" i="4"/>
  <c r="C16" i="4"/>
  <c r="G16" i="4"/>
  <c r="J16" i="4"/>
  <c r="L16" i="4"/>
  <c r="K16" i="4"/>
  <c r="H16" i="4"/>
  <c r="F16" i="4"/>
  <c r="D16" i="4"/>
  <c r="AI30" i="4"/>
  <c r="T10" i="4"/>
  <c r="P10" i="4" s="1"/>
  <c r="H9" i="4"/>
  <c r="K9" i="4"/>
  <c r="J9" i="4"/>
  <c r="M9" i="4"/>
  <c r="L9" i="4"/>
  <c r="E9" i="4"/>
  <c r="C9" i="4"/>
  <c r="G9" i="4"/>
  <c r="N9" i="4"/>
  <c r="O9" i="4"/>
  <c r="I9" i="4"/>
  <c r="F9" i="4"/>
  <c r="D9" i="4"/>
  <c r="B9" i="4"/>
  <c r="T34" i="4"/>
  <c r="P34" i="4" s="1"/>
  <c r="B11" i="4"/>
  <c r="G11" i="4"/>
  <c r="M11" i="4"/>
  <c r="K11" i="4"/>
  <c r="J11" i="4"/>
  <c r="N11" i="4"/>
  <c r="F11" i="4"/>
  <c r="D11" i="4"/>
  <c r="I11" i="4"/>
  <c r="H11" i="4"/>
  <c r="O11" i="4"/>
  <c r="L11" i="4"/>
  <c r="E11" i="4"/>
  <c r="C11" i="4"/>
  <c r="T32" i="4"/>
  <c r="P32" i="4" s="1"/>
  <c r="B15" i="4"/>
  <c r="I15" i="4"/>
  <c r="M15" i="4"/>
  <c r="H15" i="4"/>
  <c r="K15" i="4"/>
  <c r="L15" i="4"/>
  <c r="E15" i="4"/>
  <c r="C15" i="4"/>
  <c r="G15" i="4"/>
  <c r="O15" i="4"/>
  <c r="D15" i="4"/>
  <c r="J15" i="4"/>
  <c r="N15" i="4"/>
  <c r="F15" i="4"/>
  <c r="T36" i="4"/>
  <c r="P36" i="4" s="1"/>
  <c r="Q14" i="4" l="1"/>
  <c r="B19" i="4"/>
  <c r="G19" i="4"/>
  <c r="N19" i="4"/>
  <c r="J19" i="4"/>
  <c r="O19" i="4"/>
  <c r="I19" i="4"/>
  <c r="F19" i="4"/>
  <c r="D19" i="4"/>
  <c r="H19" i="4"/>
  <c r="L19" i="4"/>
  <c r="K19" i="4"/>
  <c r="M19" i="4"/>
  <c r="E19" i="4"/>
  <c r="C19" i="4"/>
  <c r="P19" i="4"/>
  <c r="T39" i="4"/>
  <c r="P39" i="4" s="1"/>
  <c r="AG25" i="1"/>
  <c r="Q9" i="4"/>
  <c r="T30" i="4"/>
  <c r="P30" i="4" s="1"/>
  <c r="Q16" i="4"/>
  <c r="B35" i="4"/>
  <c r="L35" i="4"/>
  <c r="I35" i="4"/>
  <c r="M35" i="4"/>
  <c r="K35" i="4"/>
  <c r="E35" i="4"/>
  <c r="C35" i="4"/>
  <c r="O35" i="4"/>
  <c r="H35" i="4"/>
  <c r="F35" i="4"/>
  <c r="G35" i="4"/>
  <c r="N35" i="4"/>
  <c r="J35" i="4"/>
  <c r="D35" i="4"/>
  <c r="B31" i="4"/>
  <c r="I31" i="4"/>
  <c r="M31" i="4"/>
  <c r="N31" i="4"/>
  <c r="J31" i="4"/>
  <c r="E31" i="4"/>
  <c r="C31" i="4"/>
  <c r="G31" i="4"/>
  <c r="O31" i="4"/>
  <c r="K31" i="4"/>
  <c r="L31" i="4"/>
  <c r="H31" i="4"/>
  <c r="F31" i="4"/>
  <c r="D31" i="4"/>
  <c r="B29" i="4"/>
  <c r="G29" i="4"/>
  <c r="O29" i="4"/>
  <c r="J29" i="4"/>
  <c r="N29" i="4"/>
  <c r="F29" i="4"/>
  <c r="D29" i="4"/>
  <c r="K29" i="4"/>
  <c r="M29" i="4"/>
  <c r="H29" i="4"/>
  <c r="C29" i="4"/>
  <c r="I29" i="4"/>
  <c r="L29" i="4"/>
  <c r="E29" i="4"/>
  <c r="B13" i="4"/>
  <c r="H13" i="4"/>
  <c r="K13" i="4"/>
  <c r="I13" i="4"/>
  <c r="L13" i="4"/>
  <c r="E13" i="4"/>
  <c r="C13" i="4"/>
  <c r="G13" i="4"/>
  <c r="O13" i="4"/>
  <c r="M13" i="4"/>
  <c r="D13" i="4"/>
  <c r="N13" i="4"/>
  <c r="J13" i="4"/>
  <c r="F13" i="4"/>
  <c r="AX25" i="1"/>
  <c r="B36" i="4"/>
  <c r="N36" i="4"/>
  <c r="M36" i="4"/>
  <c r="I36" i="4"/>
  <c r="J36" i="4"/>
  <c r="E36" i="4"/>
  <c r="C36" i="4"/>
  <c r="O36" i="4"/>
  <c r="L36" i="4"/>
  <c r="K36" i="4"/>
  <c r="D36" i="4"/>
  <c r="G36" i="4"/>
  <c r="H36" i="4"/>
  <c r="F36" i="4"/>
  <c r="Q15" i="4"/>
  <c r="B32" i="4"/>
  <c r="N32" i="4"/>
  <c r="K32" i="4"/>
  <c r="J32" i="4"/>
  <c r="O32" i="4"/>
  <c r="F32" i="4"/>
  <c r="D32" i="4"/>
  <c r="L32" i="4"/>
  <c r="I32" i="4"/>
  <c r="G32" i="4"/>
  <c r="M32" i="4"/>
  <c r="H32" i="4"/>
  <c r="E32" i="4"/>
  <c r="C32" i="4"/>
  <c r="Q11" i="4"/>
  <c r="B34" i="4"/>
  <c r="H34" i="4"/>
  <c r="O34" i="4"/>
  <c r="G34" i="4"/>
  <c r="J34" i="4"/>
  <c r="F34" i="4"/>
  <c r="D34" i="4"/>
  <c r="L34" i="4"/>
  <c r="I34" i="4"/>
  <c r="K34" i="4"/>
  <c r="N34" i="4"/>
  <c r="M34" i="4"/>
  <c r="E34" i="4"/>
  <c r="C34" i="4"/>
  <c r="B10" i="4"/>
  <c r="N10" i="4"/>
  <c r="O10" i="4"/>
  <c r="I10" i="4"/>
  <c r="L10" i="4"/>
  <c r="E10" i="4"/>
  <c r="C10" i="4"/>
  <c r="G10" i="4"/>
  <c r="H10" i="4"/>
  <c r="M10" i="4"/>
  <c r="D10" i="4"/>
  <c r="K10" i="4"/>
  <c r="J10" i="4"/>
  <c r="F10" i="4"/>
  <c r="T33" i="4"/>
  <c r="P33" i="4" s="1"/>
  <c r="AI8" i="4"/>
  <c r="Q19" i="4" l="1"/>
  <c r="G39" i="4"/>
  <c r="O39" i="4"/>
  <c r="N39" i="4"/>
  <c r="L39" i="4"/>
  <c r="K39" i="4"/>
  <c r="D39" i="4"/>
  <c r="J39" i="4"/>
  <c r="M39" i="4"/>
  <c r="H39" i="4"/>
  <c r="I39" i="4"/>
  <c r="E39" i="4"/>
  <c r="C39" i="4"/>
  <c r="F39" i="4"/>
  <c r="B39" i="4"/>
  <c r="Q39" i="4" s="1"/>
  <c r="Q32" i="4"/>
  <c r="B30" i="4"/>
  <c r="J30" i="4"/>
  <c r="O30" i="4"/>
  <c r="M30" i="4"/>
  <c r="K30" i="4"/>
  <c r="I30" i="4"/>
  <c r="F30" i="4"/>
  <c r="D30" i="4"/>
  <c r="H30" i="4"/>
  <c r="G30" i="4"/>
  <c r="C30" i="4"/>
  <c r="N30" i="4"/>
  <c r="L30" i="4"/>
  <c r="E30" i="4"/>
  <c r="P25" i="1"/>
  <c r="AI4" i="4"/>
  <c r="AI5" i="4"/>
  <c r="AI28" i="4"/>
  <c r="AI6" i="4"/>
  <c r="T8" i="4"/>
  <c r="P8" i="4" s="1"/>
  <c r="B33" i="4"/>
  <c r="K33" i="4"/>
  <c r="J33" i="4"/>
  <c r="O33" i="4"/>
  <c r="M33" i="4"/>
  <c r="N33" i="4"/>
  <c r="F33" i="4"/>
  <c r="D33" i="4"/>
  <c r="I33" i="4"/>
  <c r="E33" i="4"/>
  <c r="H33" i="4"/>
  <c r="L33" i="4"/>
  <c r="G33" i="4"/>
  <c r="C33" i="4"/>
  <c r="Q10" i="4"/>
  <c r="Q34" i="4"/>
  <c r="Q36" i="4"/>
  <c r="Q13" i="4"/>
  <c r="Q29" i="4"/>
  <c r="Q31" i="4"/>
  <c r="Q35" i="4"/>
  <c r="AH23" i="2"/>
  <c r="P4" i="6" s="1"/>
  <c r="P23" i="2" l="1"/>
  <c r="P5" i="4"/>
  <c r="P6" i="4"/>
  <c r="P4" i="4"/>
  <c r="Q30" i="4"/>
  <c r="AG26" i="1"/>
  <c r="AH38" i="2"/>
  <c r="P38" i="2"/>
  <c r="AX26" i="1"/>
  <c r="Q33" i="4"/>
  <c r="B8" i="4"/>
  <c r="I8" i="4"/>
  <c r="J8" i="4"/>
  <c r="N8" i="4"/>
  <c r="K8" i="4"/>
  <c r="H8" i="4"/>
  <c r="F8" i="4"/>
  <c r="D8" i="4"/>
  <c r="M8" i="4"/>
  <c r="L8" i="4"/>
  <c r="G8" i="4"/>
  <c r="O8" i="4"/>
  <c r="E8" i="4"/>
  <c r="C8" i="4"/>
  <c r="AI25" i="4"/>
  <c r="AI24" i="4"/>
  <c r="AI26" i="4"/>
  <c r="T28" i="4"/>
  <c r="P28" i="4" s="1"/>
  <c r="AH10" i="2"/>
  <c r="P4" i="5" l="1"/>
  <c r="Q23" i="2"/>
  <c r="P24" i="4"/>
  <c r="P26" i="4"/>
  <c r="P25" i="4"/>
  <c r="E4" i="4"/>
  <c r="E6" i="4"/>
  <c r="E5" i="4"/>
  <c r="G6" i="4"/>
  <c r="G4" i="4"/>
  <c r="G5" i="4"/>
  <c r="M5" i="4"/>
  <c r="M4" i="4"/>
  <c r="M6" i="4"/>
  <c r="F5" i="4"/>
  <c r="F6" i="4"/>
  <c r="F4" i="4"/>
  <c r="K6" i="4"/>
  <c r="K4" i="4"/>
  <c r="K5" i="4"/>
  <c r="J4" i="4"/>
  <c r="J6" i="4"/>
  <c r="J5" i="4"/>
  <c r="B6" i="4"/>
  <c r="B5" i="4"/>
  <c r="B4" i="4"/>
  <c r="Q8" i="4"/>
  <c r="Q38" i="2"/>
  <c r="P26" i="1"/>
  <c r="G28" i="4"/>
  <c r="O28" i="4"/>
  <c r="M28" i="4"/>
  <c r="I28" i="4"/>
  <c r="F28" i="4"/>
  <c r="D28" i="4"/>
  <c r="B28" i="4"/>
  <c r="H28" i="4"/>
  <c r="J28" i="4"/>
  <c r="K28" i="4"/>
  <c r="N28" i="4"/>
  <c r="L28" i="4"/>
  <c r="E28" i="4"/>
  <c r="C28" i="4"/>
  <c r="C6" i="4"/>
  <c r="C4" i="4"/>
  <c r="C5" i="4"/>
  <c r="O4" i="4"/>
  <c r="O5" i="4"/>
  <c r="O6" i="4"/>
  <c r="L6" i="4"/>
  <c r="L4" i="4"/>
  <c r="L5" i="4"/>
  <c r="D5" i="4"/>
  <c r="D6" i="4"/>
  <c r="D4" i="4"/>
  <c r="H4" i="4"/>
  <c r="H5" i="4"/>
  <c r="H6" i="4"/>
  <c r="N6" i="4"/>
  <c r="N4" i="4"/>
  <c r="N5" i="4"/>
  <c r="I4" i="4"/>
  <c r="I5" i="4"/>
  <c r="I6" i="4"/>
  <c r="P10" i="2"/>
  <c r="AX27" i="1"/>
  <c r="Q10" i="2" l="1"/>
  <c r="E26" i="4"/>
  <c r="E25" i="4"/>
  <c r="E24" i="4"/>
  <c r="N26" i="4"/>
  <c r="N24" i="4"/>
  <c r="N25" i="4"/>
  <c r="J26" i="4"/>
  <c r="J24" i="4"/>
  <c r="J25" i="4"/>
  <c r="B24" i="4"/>
  <c r="B26" i="4"/>
  <c r="Q28" i="4"/>
  <c r="B25" i="4"/>
  <c r="F25" i="4"/>
  <c r="F26" i="4"/>
  <c r="F24" i="4"/>
  <c r="M26" i="4"/>
  <c r="M25" i="4"/>
  <c r="M24" i="4"/>
  <c r="G26" i="4"/>
  <c r="G25" i="4"/>
  <c r="G24" i="4"/>
  <c r="C25" i="4"/>
  <c r="C26" i="4"/>
  <c r="C24" i="4"/>
  <c r="L26" i="4"/>
  <c r="L24" i="4"/>
  <c r="L25" i="4"/>
  <c r="K25" i="4"/>
  <c r="K24" i="4"/>
  <c r="K26" i="4"/>
  <c r="H25" i="4"/>
  <c r="H26" i="4"/>
  <c r="H24" i="4"/>
  <c r="D25" i="4"/>
  <c r="D24" i="4"/>
  <c r="D26" i="4"/>
  <c r="I26" i="4"/>
  <c r="I25" i="4"/>
  <c r="I24" i="4"/>
  <c r="O24" i="4"/>
  <c r="O25" i="4"/>
  <c r="O26" i="4"/>
  <c r="AH24" i="2"/>
  <c r="AG27" i="1" l="1"/>
  <c r="P27" i="1" s="1"/>
  <c r="P24" i="2"/>
  <c r="Q24" i="2" l="1"/>
  <c r="AH39" i="2" l="1"/>
  <c r="P39" i="2"/>
  <c r="Q39" i="2" l="1"/>
  <c r="AH11" i="2"/>
  <c r="P11" i="2"/>
  <c r="Q11" i="2" l="1"/>
  <c r="AH25" i="2" l="1"/>
  <c r="P25" i="2" l="1"/>
  <c r="Q25" i="2" l="1"/>
  <c r="P10" i="3"/>
  <c r="P25" i="3" l="1"/>
  <c r="AG10" i="3"/>
  <c r="Q10" i="3"/>
  <c r="AH10" i="3" l="1"/>
  <c r="AG25" i="3"/>
  <c r="Q25" i="3"/>
  <c r="AH25" i="3" l="1"/>
  <c r="AH40" i="2" l="1"/>
  <c r="P40" i="2"/>
  <c r="AH12" i="2"/>
  <c r="AH41" i="2" l="1"/>
  <c r="P41" i="2"/>
  <c r="Q41" i="2" s="1"/>
  <c r="Q40" i="2"/>
  <c r="P12" i="2"/>
  <c r="AH13" i="2"/>
  <c r="AH42" i="2" l="1"/>
  <c r="AH43" i="2" s="1"/>
  <c r="P42" i="2"/>
  <c r="Q12" i="2"/>
  <c r="P13" i="2"/>
  <c r="Q13" i="2" s="1"/>
  <c r="AH26" i="2"/>
  <c r="AH14" i="2"/>
  <c r="AH15" i="2" s="1"/>
  <c r="AH27" i="2"/>
  <c r="Q42" i="2" l="1"/>
  <c r="P43" i="2"/>
  <c r="Q43" i="2" s="1"/>
  <c r="P27" i="2"/>
  <c r="Q27" i="2" s="1"/>
  <c r="P14" i="2"/>
  <c r="Q14" i="2" s="1"/>
  <c r="P26" i="2"/>
  <c r="AH28" i="2"/>
  <c r="AH29" i="2" s="1"/>
  <c r="Q26" i="2" l="1"/>
  <c r="P15" i="2"/>
  <c r="Q15" i="2" s="1"/>
  <c r="P28" i="2"/>
  <c r="Q28" i="2" s="1"/>
  <c r="P29" i="2" l="1"/>
  <c r="Q29" i="2" s="1"/>
  <c r="P12" i="3" l="1"/>
  <c r="P11" i="3"/>
  <c r="AG11" i="3" l="1"/>
  <c r="Q11" i="3"/>
  <c r="P26" i="3"/>
  <c r="AG12" i="3"/>
  <c r="AH12" i="3" s="1"/>
  <c r="Q12" i="3"/>
  <c r="P27" i="3"/>
  <c r="P13" i="3"/>
  <c r="P28" i="3" l="1"/>
  <c r="AG13" i="3"/>
  <c r="AH13" i="3" s="1"/>
  <c r="Q13" i="3"/>
  <c r="AG27" i="3"/>
  <c r="AH27" i="3" s="1"/>
  <c r="Q27" i="3"/>
  <c r="AG26" i="3"/>
  <c r="Q26" i="3"/>
  <c r="P29" i="3"/>
  <c r="Q29" i="3" s="1"/>
  <c r="P18" i="3"/>
  <c r="Q18" i="3" s="1"/>
  <c r="AH11" i="3"/>
  <c r="AG18" i="3"/>
  <c r="AH18" i="3" s="1"/>
  <c r="P14" i="3"/>
  <c r="AG28" i="3" l="1"/>
  <c r="AH28" i="3" s="1"/>
  <c r="Q28" i="3"/>
  <c r="AH26" i="3"/>
  <c r="AG29" i="3"/>
  <c r="AH29" i="3" s="1"/>
  <c r="P15" i="3"/>
  <c r="P16" i="3" l="1"/>
  <c r="P17" i="3" l="1"/>
  <c r="P29" i="5" l="1"/>
  <c r="P46" i="6"/>
</calcChain>
</file>

<file path=xl/comments1.xml><?xml version="1.0" encoding="utf-8"?>
<comments xmlns="http://schemas.openxmlformats.org/spreadsheetml/2006/main">
  <authors>
    <author>Eric NOEUREUIL</author>
  </authors>
  <commentList>
    <comment ref="A4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2 ans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2 ans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3 ans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Moyenne 4ans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A intégrer ultérieurement: SDIS et Espanes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F3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1/3 de module en panne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Remplacement d'un module 300W par un 310W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1/3 de 2 modules en panne</t>
        </r>
      </text>
    </comment>
    <comment ref="L43" authorId="0" shapeId="0">
      <text>
        <r>
          <rPr>
            <sz val="9"/>
            <color indexed="81"/>
            <rFont val="Tahoma"/>
            <family val="2"/>
          </rPr>
          <t>Saisir la valeur suivant le type de module PV
0,65% /an garanti par JA Solar</t>
        </r>
      </text>
    </comment>
  </commentList>
</comments>
</file>

<file path=xl/sharedStrings.xml><?xml version="1.0" encoding="utf-8"?>
<sst xmlns="http://schemas.openxmlformats.org/spreadsheetml/2006/main" count="707" uniqueCount="118">
  <si>
    <t>Réglages coefficients de pertes stations  I.C.E.A.</t>
  </si>
  <si>
    <t>Pertes par salissure: taux par an</t>
  </si>
  <si>
    <t>Pertes par salissure: taux limite</t>
  </si>
  <si>
    <t>Pertes par salissure constante de temps (ans)</t>
  </si>
  <si>
    <t>Année</t>
  </si>
  <si>
    <t>Donneville</t>
  </si>
  <si>
    <t>Aureville</t>
  </si>
  <si>
    <t>M.J.C. Ayguesviv.</t>
  </si>
  <si>
    <t>Garderie Labège</t>
  </si>
  <si>
    <t>Maternelle Labège</t>
  </si>
  <si>
    <t>Crèche Escalquens</t>
  </si>
  <si>
    <t>Crèche Ayguesviv.</t>
  </si>
  <si>
    <t>S.d.F. Noueilles</t>
  </si>
  <si>
    <t>M. d. S.  Escalquens</t>
  </si>
  <si>
    <t>Berjean Escalquens</t>
  </si>
  <si>
    <t>Ecole Odars</t>
  </si>
  <si>
    <t>Gymnase Ayguesviv.</t>
  </si>
  <si>
    <t>Ecole Montbrun L</t>
  </si>
  <si>
    <t>Espanes Hangar Goussaud</t>
  </si>
  <si>
    <t>Montgiscard
S.D.I.S.</t>
  </si>
  <si>
    <t>Pertes par masquage: Croissance en hauteur x densité</t>
  </si>
  <si>
    <t>Pertes par masquage: Hauteur végétation fin année (m)</t>
  </si>
  <si>
    <t>Pertes par masquage: densité végétation (%)</t>
  </si>
  <si>
    <r>
      <t xml:space="preserve">Pertes de vieillissement P.V. : Taux annuel </t>
    </r>
    <r>
      <rPr>
        <sz val="12"/>
        <color theme="4" tint="-0.499984740745262"/>
        <rFont val="Calibri"/>
        <family val="2"/>
        <scheme val="minor"/>
      </rPr>
      <t>puis dégradations supplémentaires</t>
    </r>
  </si>
  <si>
    <t>Site</t>
  </si>
  <si>
    <t>Particularités de réglages</t>
  </si>
  <si>
    <t>%/An</t>
  </si>
  <si>
    <t xml:space="preserve">Donneville: </t>
  </si>
  <si>
    <t>Quelques pertes végétation; Taux de salissure assez fort augmente en 2022</t>
  </si>
  <si>
    <t xml:space="preserve">Aureville: </t>
  </si>
  <si>
    <t>Taux de salissure assez faible augmente en 2022</t>
  </si>
  <si>
    <t xml:space="preserve">Garderie Labège: </t>
  </si>
  <si>
    <t xml:space="preserve">M.J.C. Ayguesviv.: </t>
  </si>
  <si>
    <t>Faible taux de pertes PV et de salissure</t>
  </si>
  <si>
    <t xml:space="preserve">Maternelle Labège: </t>
  </si>
  <si>
    <t>Fort taux de perte PV + 1/3 module; salissures assez fortes: 2eme position</t>
  </si>
  <si>
    <t xml:space="preserve">Crèche Escalquens: </t>
  </si>
  <si>
    <t>RAS</t>
  </si>
  <si>
    <t xml:space="preserve">Crèche Ayguesviv.: </t>
  </si>
  <si>
    <t>Taux PV salissure et végétation sont les plus élevés!</t>
  </si>
  <si>
    <t xml:space="preserve">S.d.F. Noueilles: </t>
  </si>
  <si>
    <t>Augmentation salissures depuis 2021 effacé par nettoyage 22</t>
  </si>
  <si>
    <t xml:space="preserve">M. d. S.  Escalquens: </t>
  </si>
  <si>
    <t>Légère augmentation taux de salissure en 2022 effacé par nettoyage 22</t>
  </si>
  <si>
    <t xml:space="preserve">Berjean Escalquens: </t>
  </si>
  <si>
    <t xml:space="preserve">Esp. Berjean Escalquens: </t>
  </si>
  <si>
    <t>Forte augmentation salissures en 2021-22  effacé par nettoyage 22</t>
  </si>
  <si>
    <t xml:space="preserve">Ecole Odars: </t>
  </si>
  <si>
    <t>Augmentation taux de salissure en 2022 effacé par nettoyage 22</t>
  </si>
  <si>
    <t xml:space="preserve">Gymnase Ayguesviv.: </t>
  </si>
  <si>
    <t>Fort taux de salissure en 2021-22 effacé par nettoyage 22</t>
  </si>
  <si>
    <t xml:space="preserve">Ecole Montbrun L: </t>
  </si>
  <si>
    <t>Taux de salissure initialement le plus faible augmente en 2022</t>
  </si>
  <si>
    <t>SYNTHESE DES PERTES CENTRALES I.C.E.A. (kWh)</t>
  </si>
  <si>
    <t>SYNTHESE DES PERTES relatives en %</t>
  </si>
  <si>
    <t>Pertes par salissure</t>
  </si>
  <si>
    <t>TOTAL kWh</t>
  </si>
  <si>
    <t>Toutes</t>
  </si>
  <si>
    <t>Moy</t>
  </si>
  <si>
    <t>Pertes par masquage (végétation)</t>
  </si>
  <si>
    <t>Pertes de vieillissement P.V. (pour info.)</t>
  </si>
  <si>
    <t>PREVISIONS DE GAINS I.C.E.A. (kWh) en cas d'action</t>
  </si>
  <si>
    <t>GAINS POTENTIELS   I.C.E.A. (€) en cas d'action</t>
  </si>
  <si>
    <t>Salissures</t>
  </si>
  <si>
    <t>Végétation</t>
  </si>
  <si>
    <t>Prix (kWh)</t>
  </si>
  <si>
    <t>Régler içi la période entre actions (ans):</t>
  </si>
  <si>
    <t>ans</t>
  </si>
  <si>
    <t>Gains par nettoyage salissure</t>
  </si>
  <si>
    <t>TOTAL €</t>
  </si>
  <si>
    <t>Gains par taille de la végétation</t>
  </si>
  <si>
    <r>
      <t xml:space="preserve">1er Octobre 2022:  Ratios de performance </t>
    </r>
    <r>
      <rPr>
        <b/>
        <u/>
        <sz val="14"/>
        <color indexed="8"/>
        <rFont val="Calibri"/>
        <family val="2"/>
      </rPr>
      <t>normalisés suivant JPG</t>
    </r>
    <r>
      <rPr>
        <b/>
        <sz val="14"/>
        <color indexed="8"/>
        <rFont val="Calibri"/>
        <family val="2"/>
      </rPr>
      <t>: basé sur courbes enveloppe</t>
    </r>
  </si>
  <si>
    <t>Nombre stations en service</t>
  </si>
  <si>
    <t>Station:</t>
  </si>
  <si>
    <t>min:</t>
  </si>
  <si>
    <t>moy:</t>
  </si>
  <si>
    <t>max:</t>
  </si>
  <si>
    <t>Mois</t>
  </si>
  <si>
    <t>ratio % /moyenne ICEA</t>
  </si>
  <si>
    <t>vérif</t>
  </si>
  <si>
    <t>Somme centrales (kWh/j)</t>
  </si>
  <si>
    <t>Moyenne Mois kWh/kWc/j</t>
  </si>
  <si>
    <r>
      <t xml:space="preserve">1er Octobre 2022: Ratios de performance </t>
    </r>
    <r>
      <rPr>
        <b/>
        <u/>
        <sz val="14"/>
        <color indexed="8"/>
        <rFont val="Calibri"/>
        <family val="2"/>
      </rPr>
      <t>absolus suivant JPG</t>
    </r>
    <r>
      <rPr>
        <b/>
        <sz val="14"/>
        <color indexed="8"/>
        <rFont val="Calibri"/>
        <family val="2"/>
      </rPr>
      <t>:  basé sur courbes enveloppe</t>
    </r>
  </si>
  <si>
    <t>Pcrête (kW)</t>
  </si>
  <si>
    <t>P crête (kW):</t>
  </si>
  <si>
    <t>Moyenne Mois (kWh/j)</t>
  </si>
  <si>
    <t>SYNTHESE DES PERTES &amp; GAINS STATIONS I.C.E.A. (kWh)</t>
  </si>
  <si>
    <t>Bilan de pertes
2022</t>
  </si>
  <si>
    <t>Espace Berjean Escalq</t>
  </si>
  <si>
    <t>Masquage végé. 2022 (kWh/kWc)</t>
  </si>
  <si>
    <t>Perte salissure 2022 (kWh/kWc)</t>
  </si>
  <si>
    <t>Gain instantanné nettoyage</t>
  </si>
  <si>
    <t>Espace Berjean Escalquens</t>
  </si>
  <si>
    <t>Période nettoyage 1 an</t>
  </si>
  <si>
    <t>Période nettoyage 2ans</t>
  </si>
  <si>
    <t>Période nettoyage 3ans</t>
  </si>
  <si>
    <t>Période nettoyage 4ans</t>
  </si>
  <si>
    <t>Période de calcul station</t>
  </si>
  <si>
    <t>SYNTHESE DES PERTES &amp; GAINS STATIONS I.C.E.A. (%)</t>
  </si>
  <si>
    <t>Masquage végé. 2022</t>
  </si>
  <si>
    <t>Perte salissure 2022</t>
  </si>
  <si>
    <t>Résidu nettoyage</t>
  </si>
  <si>
    <t>Résidu nettoyage / Gain+résidu</t>
  </si>
  <si>
    <t>Montgiscard S.D.I.S.</t>
  </si>
  <si>
    <t>Gain de nettoyage moyen
( kWh/an ) Décembre 2022</t>
  </si>
  <si>
    <t>Valeurs préliminaires</t>
  </si>
  <si>
    <t>Méthode: moyenne des valeurs gains annuels dernière période</t>
  </si>
  <si>
    <t>Gain  moyen calculé (à reporter ci-dessus)</t>
  </si>
  <si>
    <t>Gymnase Ayguesvives</t>
  </si>
  <si>
    <t>Synthèse nettoyages ICEA</t>
  </si>
  <si>
    <t>Mise en service</t>
  </si>
  <si>
    <t>Installation PV</t>
  </si>
  <si>
    <t>Salissure</t>
  </si>
  <si>
    <t>Fin 2022</t>
  </si>
  <si>
    <t>Nettoyages précédents</t>
  </si>
  <si>
    <t>Nettoyage</t>
  </si>
  <si>
    <t>etc….</t>
  </si>
  <si>
    <t>Avr.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</si>
</sst>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.0_ ;\-#,##0.0\ "/>
    <numFmt numFmtId="165" formatCode="0.0%"/>
    <numFmt numFmtId="166" formatCode="0.000"/>
    <numFmt numFmtId="167" formatCode="#,##0\ &quot;€&quot;"/>
    <numFmt numFmtId="168" formatCode="0.0"/>
    <numFmt numFmtId="169" formatCode="[$-40C]mmm\-yy;@"/>
    <numFmt numFmtId="170" formatCode="[$-40C]d\-mmm\-yy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u/>
      <sz val="8"/>
      <color theme="7" tint="-0.499984740745262"/>
      <name val="Calibri"/>
      <family val="2"/>
      <scheme val="minor"/>
    </font>
    <font>
      <b/>
      <u/>
      <sz val="10"/>
      <color theme="7" tint="-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u/>
      <sz val="10"/>
      <color theme="1" tint="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7" tint="-0.499984740745262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" tint="0.499984740745262"/>
      <name val="Calibri"/>
      <family val="2"/>
      <scheme val="minor"/>
    </font>
    <font>
      <b/>
      <u/>
      <sz val="11"/>
      <color theme="7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0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/>
    <xf numFmtId="1" fontId="5" fillId="0" borderId="0" xfId="0" applyNumberFormat="1" applyFont="1"/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6" fillId="0" borderId="0" xfId="0" applyNumberFormat="1" applyFont="1"/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1" fontId="7" fillId="0" borderId="3" xfId="0" applyNumberFormat="1" applyFont="1" applyBorder="1"/>
    <xf numFmtId="9" fontId="6" fillId="0" borderId="0" xfId="2" applyFont="1" applyBorder="1" applyAlignment="1">
      <alignment horizontal="center" vertical="center"/>
    </xf>
    <xf numFmtId="9" fontId="10" fillId="0" borderId="0" xfId="2" applyFont="1" applyBorder="1" applyAlignment="1">
      <alignment horizontal="center" vertical="center"/>
    </xf>
    <xf numFmtId="9" fontId="10" fillId="0" borderId="4" xfId="2" applyFont="1" applyBorder="1" applyAlignment="1">
      <alignment horizontal="center" vertical="center"/>
    </xf>
    <xf numFmtId="9" fontId="10" fillId="0" borderId="0" xfId="2" applyFont="1" applyFill="1" applyBorder="1" applyAlignment="1">
      <alignment horizontal="center" vertical="center"/>
    </xf>
    <xf numFmtId="1" fontId="4" fillId="0" borderId="3" xfId="0" applyNumberFormat="1" applyFont="1" applyBorder="1"/>
    <xf numFmtId="9" fontId="11" fillId="0" borderId="0" xfId="2" applyFont="1" applyBorder="1" applyAlignment="1">
      <alignment horizontal="center" vertical="center"/>
    </xf>
    <xf numFmtId="9" fontId="12" fillId="0" borderId="0" xfId="2" applyFont="1" applyBorder="1" applyAlignment="1">
      <alignment horizontal="center" vertical="center"/>
    </xf>
    <xf numFmtId="9" fontId="11" fillId="0" borderId="0" xfId="2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/>
    </xf>
    <xf numFmtId="164" fontId="11" fillId="0" borderId="0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9" fontId="13" fillId="0" borderId="0" xfId="2" applyFont="1" applyBorder="1" applyAlignment="1">
      <alignment horizontal="center" vertical="center"/>
    </xf>
    <xf numFmtId="9" fontId="10" fillId="0" borderId="5" xfId="2" applyFont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9" fontId="11" fillId="0" borderId="5" xfId="2" applyFont="1" applyBorder="1" applyAlignment="1">
      <alignment horizontal="center" vertical="center"/>
    </xf>
    <xf numFmtId="1" fontId="14" fillId="0" borderId="3" xfId="0" applyNumberFormat="1" applyFont="1" applyBorder="1"/>
    <xf numFmtId="9" fontId="14" fillId="0" borderId="0" xfId="2" applyFont="1" applyBorder="1" applyAlignment="1">
      <alignment horizontal="center" vertical="center"/>
    </xf>
    <xf numFmtId="9" fontId="14" fillId="0" borderId="5" xfId="2" applyFont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1" fontId="15" fillId="0" borderId="3" xfId="0" applyNumberFormat="1" applyFont="1" applyBorder="1"/>
    <xf numFmtId="9" fontId="15" fillId="0" borderId="0" xfId="2" applyFont="1" applyBorder="1" applyAlignment="1">
      <alignment horizontal="center" vertical="center"/>
    </xf>
    <xf numFmtId="9" fontId="15" fillId="0" borderId="5" xfId="2" applyFont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0" fontId="14" fillId="0" borderId="0" xfId="0" applyFont="1"/>
    <xf numFmtId="1" fontId="14" fillId="0" borderId="6" xfId="0" applyNumberFormat="1" applyFont="1" applyBorder="1"/>
    <xf numFmtId="9" fontId="14" fillId="0" borderId="7" xfId="2" applyFont="1" applyBorder="1" applyAlignment="1">
      <alignment horizontal="center" vertical="center"/>
    </xf>
    <xf numFmtId="9" fontId="14" fillId="0" borderId="8" xfId="2" applyFont="1" applyBorder="1" applyAlignment="1">
      <alignment horizontal="center" vertical="center"/>
    </xf>
    <xf numFmtId="1" fontId="15" fillId="0" borderId="6" xfId="0" applyNumberFormat="1" applyFont="1" applyBorder="1"/>
    <xf numFmtId="9" fontId="15" fillId="0" borderId="7" xfId="2" applyFont="1" applyBorder="1" applyAlignment="1">
      <alignment horizontal="center" vertical="center"/>
    </xf>
    <xf numFmtId="9" fontId="15" fillId="0" borderId="8" xfId="2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0" fontId="1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17" fillId="0" borderId="0" xfId="0" applyNumberFormat="1" applyFont="1"/>
    <xf numFmtId="1" fontId="18" fillId="0" borderId="0" xfId="0" applyNumberFormat="1" applyFont="1"/>
    <xf numFmtId="1" fontId="4" fillId="0" borderId="0" xfId="0" applyNumberFormat="1" applyFont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 vertical="center"/>
    </xf>
    <xf numFmtId="9" fontId="21" fillId="0" borderId="0" xfId="2" applyFont="1" applyBorder="1" applyAlignment="1">
      <alignment horizontal="center" vertical="center"/>
    </xf>
    <xf numFmtId="9" fontId="21" fillId="0" borderId="4" xfId="2" applyFont="1" applyBorder="1" applyAlignment="1">
      <alignment horizontal="center" vertical="center"/>
    </xf>
    <xf numFmtId="1" fontId="7" fillId="0" borderId="0" xfId="0" applyNumberFormat="1" applyFont="1"/>
    <xf numFmtId="2" fontId="19" fillId="0" borderId="5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9" fontId="21" fillId="0" borderId="5" xfId="2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/>
    <xf numFmtId="2" fontId="14" fillId="0" borderId="7" xfId="0" applyNumberFormat="1" applyFont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/>
    </xf>
    <xf numFmtId="2" fontId="15" fillId="0" borderId="8" xfId="0" applyNumberFormat="1" applyFont="1" applyBorder="1" applyAlignment="1">
      <alignment horizontal="center" vertical="center"/>
    </xf>
    <xf numFmtId="0" fontId="24" fillId="0" borderId="0" xfId="0" applyFont="1"/>
    <xf numFmtId="0" fontId="9" fillId="2" borderId="1" xfId="0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right"/>
    </xf>
    <xf numFmtId="10" fontId="25" fillId="0" borderId="1" xfId="2" applyNumberFormat="1" applyFont="1" applyBorder="1" applyAlignment="1">
      <alignment horizontal="center" vertical="center"/>
    </xf>
    <xf numFmtId="10" fontId="26" fillId="0" borderId="1" xfId="2" applyNumberFormat="1" applyFont="1" applyBorder="1" applyAlignment="1">
      <alignment horizontal="center" vertical="center"/>
    </xf>
    <xf numFmtId="10" fontId="27" fillId="0" borderId="1" xfId="2" applyNumberFormat="1" applyFont="1" applyBorder="1" applyAlignment="1">
      <alignment horizontal="center" vertical="center"/>
    </xf>
    <xf numFmtId="165" fontId="28" fillId="0" borderId="0" xfId="2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/>
    <xf numFmtId="1" fontId="30" fillId="0" borderId="3" xfId="0" applyNumberFormat="1" applyFont="1" applyBorder="1"/>
    <xf numFmtId="165" fontId="31" fillId="0" borderId="11" xfId="2" applyNumberFormat="1" applyFont="1" applyBorder="1" applyAlignment="1">
      <alignment horizontal="center" vertical="center"/>
    </xf>
    <xf numFmtId="165" fontId="31" fillId="0" borderId="12" xfId="2" applyNumberFormat="1" applyFont="1" applyBorder="1" applyAlignment="1">
      <alignment horizontal="center" vertical="center"/>
    </xf>
    <xf numFmtId="165" fontId="31" fillId="0" borderId="4" xfId="2" applyNumberFormat="1" applyFont="1" applyBorder="1" applyAlignment="1">
      <alignment horizontal="center" vertical="center"/>
    </xf>
    <xf numFmtId="165" fontId="31" fillId="0" borderId="0" xfId="2" applyNumberFormat="1" applyFont="1" applyFill="1" applyBorder="1" applyAlignment="1">
      <alignment horizontal="center" vertical="center"/>
    </xf>
    <xf numFmtId="0" fontId="30" fillId="0" borderId="0" xfId="0" applyFont="1"/>
    <xf numFmtId="0" fontId="29" fillId="0" borderId="0" xfId="0" applyFont="1"/>
    <xf numFmtId="165" fontId="31" fillId="0" borderId="3" xfId="2" applyNumberFormat="1" applyFont="1" applyBorder="1" applyAlignment="1">
      <alignment horizontal="center" vertical="center"/>
    </xf>
    <xf numFmtId="165" fontId="31" fillId="0" borderId="0" xfId="2" applyNumberFormat="1" applyFont="1" applyBorder="1" applyAlignment="1">
      <alignment horizontal="center" vertical="center"/>
    </xf>
    <xf numFmtId="165" fontId="31" fillId="0" borderId="5" xfId="2" applyNumberFormat="1" applyFont="1" applyBorder="1" applyAlignment="1">
      <alignment horizontal="center" vertical="center"/>
    </xf>
    <xf numFmtId="165" fontId="32" fillId="0" borderId="0" xfId="2" applyNumberFormat="1" applyFont="1" applyFill="1" applyBorder="1" applyAlignment="1">
      <alignment horizontal="center" vertical="center"/>
    </xf>
    <xf numFmtId="0" fontId="32" fillId="0" borderId="0" xfId="0" applyFont="1"/>
    <xf numFmtId="0" fontId="33" fillId="0" borderId="0" xfId="0" applyFont="1" applyFill="1" applyBorder="1"/>
    <xf numFmtId="1" fontId="32" fillId="0" borderId="3" xfId="0" applyNumberFormat="1" applyFont="1" applyBorder="1"/>
    <xf numFmtId="165" fontId="32" fillId="0" borderId="3" xfId="2" applyNumberFormat="1" applyFont="1" applyBorder="1" applyAlignment="1">
      <alignment horizontal="center" vertical="center"/>
    </xf>
    <xf numFmtId="165" fontId="32" fillId="0" borderId="0" xfId="2" applyNumberFormat="1" applyFont="1" applyBorder="1" applyAlignment="1">
      <alignment horizontal="center" vertical="center"/>
    </xf>
    <xf numFmtId="165" fontId="32" fillId="0" borderId="5" xfId="2" applyNumberFormat="1" applyFont="1" applyBorder="1" applyAlignment="1">
      <alignment horizontal="center" vertical="center"/>
    </xf>
    <xf numFmtId="165" fontId="32" fillId="0" borderId="6" xfId="2" applyNumberFormat="1" applyFont="1" applyBorder="1" applyAlignment="1">
      <alignment horizontal="center" vertical="center"/>
    </xf>
    <xf numFmtId="165" fontId="32" fillId="0" borderId="7" xfId="2" applyNumberFormat="1" applyFont="1" applyBorder="1" applyAlignment="1">
      <alignment horizontal="center" vertical="center"/>
    </xf>
    <xf numFmtId="165" fontId="32" fillId="0" borderId="8" xfId="2" applyNumberFormat="1" applyFont="1" applyBorder="1" applyAlignment="1">
      <alignment horizontal="center" vertical="center"/>
    </xf>
    <xf numFmtId="10" fontId="34" fillId="0" borderId="0" xfId="2" applyNumberFormat="1" applyFont="1" applyFill="1" applyBorder="1" applyAlignment="1">
      <alignment horizontal="center" vertical="center"/>
    </xf>
    <xf numFmtId="1" fontId="30" fillId="0" borderId="0" xfId="0" applyNumberFormat="1" applyFont="1"/>
    <xf numFmtId="1" fontId="30" fillId="0" borderId="0" xfId="0" applyNumberFormat="1" applyFont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0" fontId="35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0" xfId="0" applyFont="1" applyFill="1" applyBorder="1" applyAlignment="1">
      <alignment horizontal="center" vertical="center"/>
    </xf>
    <xf numFmtId="17" fontId="39" fillId="0" borderId="0" xfId="0" applyNumberFormat="1" applyFont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65" fontId="10" fillId="0" borderId="0" xfId="2" applyNumberFormat="1" applyFont="1" applyBorder="1" applyAlignment="1">
      <alignment horizontal="center" vertical="center"/>
    </xf>
    <xf numFmtId="165" fontId="10" fillId="0" borderId="4" xfId="2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65" fontId="10" fillId="0" borderId="5" xfId="2" applyNumberFormat="1" applyFont="1" applyBorder="1" applyAlignment="1">
      <alignment horizontal="center" vertical="center"/>
    </xf>
    <xf numFmtId="1" fontId="7" fillId="0" borderId="14" xfId="0" applyNumberFormat="1" applyFont="1" applyBorder="1"/>
    <xf numFmtId="1" fontId="10" fillId="0" borderId="15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65" fontId="10" fillId="0" borderId="15" xfId="2" applyNumberFormat="1" applyFont="1" applyBorder="1" applyAlignment="1">
      <alignment horizontal="center" vertical="center"/>
    </xf>
    <xf numFmtId="165" fontId="10" fillId="0" borderId="16" xfId="2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165" fontId="14" fillId="0" borderId="0" xfId="2" applyNumberFormat="1" applyFont="1" applyBorder="1" applyAlignment="1">
      <alignment horizontal="center" vertical="center"/>
    </xf>
    <xf numFmtId="165" fontId="14" fillId="0" borderId="5" xfId="2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65" fontId="14" fillId="0" borderId="8" xfId="2" applyNumberFormat="1" applyFont="1" applyBorder="1" applyAlignment="1">
      <alignment horizontal="center" vertical="center"/>
    </xf>
    <xf numFmtId="1" fontId="40" fillId="0" borderId="1" xfId="0" applyNumberFormat="1" applyFont="1" applyBorder="1" applyAlignment="1">
      <alignment horizontal="right"/>
    </xf>
    <xf numFmtId="1" fontId="40" fillId="0" borderId="1" xfId="0" applyNumberFormat="1" applyFont="1" applyBorder="1" applyAlignment="1">
      <alignment horizontal="center" vertical="center"/>
    </xf>
    <xf numFmtId="0" fontId="2" fillId="0" borderId="0" xfId="0" applyFont="1"/>
    <xf numFmtId="165" fontId="40" fillId="0" borderId="1" xfId="2" applyNumberFormat="1" applyFont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165" fontId="19" fillId="0" borderId="0" xfId="2" applyNumberFormat="1" applyFont="1" applyBorder="1" applyAlignment="1">
      <alignment horizontal="center" vertical="center"/>
    </xf>
    <xf numFmtId="165" fontId="19" fillId="0" borderId="4" xfId="2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165" fontId="19" fillId="0" borderId="5" xfId="2" applyNumberFormat="1" applyFont="1" applyBorder="1" applyAlignment="1">
      <alignment horizontal="center" vertical="center"/>
    </xf>
    <xf numFmtId="1" fontId="7" fillId="0" borderId="17" xfId="0" applyNumberFormat="1" applyFont="1" applyBorder="1"/>
    <xf numFmtId="1" fontId="19" fillId="0" borderId="18" xfId="0" applyNumberFormat="1" applyFont="1" applyBorder="1" applyAlignment="1">
      <alignment horizontal="center" vertical="center"/>
    </xf>
    <xf numFmtId="1" fontId="19" fillId="0" borderId="19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65" fontId="19" fillId="0" borderId="18" xfId="2" applyNumberFormat="1" applyFont="1" applyBorder="1" applyAlignment="1">
      <alignment horizontal="center" vertical="center"/>
    </xf>
    <xf numFmtId="165" fontId="19" fillId="0" borderId="19" xfId="2" applyNumberFormat="1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center" vertical="center"/>
    </xf>
    <xf numFmtId="165" fontId="27" fillId="0" borderId="1" xfId="2" applyNumberFormat="1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165" fontId="28" fillId="0" borderId="0" xfId="2" applyNumberFormat="1" applyFont="1" applyBorder="1" applyAlignment="1">
      <alignment horizontal="center" vertical="center"/>
    </xf>
    <xf numFmtId="165" fontId="28" fillId="0" borderId="12" xfId="2" applyNumberFormat="1" applyFont="1" applyBorder="1" applyAlignment="1">
      <alignment horizontal="center" vertical="center"/>
    </xf>
    <xf numFmtId="165" fontId="28" fillId="0" borderId="4" xfId="2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165" fontId="28" fillId="0" borderId="5" xfId="2" applyNumberFormat="1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1" fontId="28" fillId="0" borderId="16" xfId="0" applyNumberFormat="1" applyFont="1" applyBorder="1" applyAlignment="1">
      <alignment horizontal="center" vertical="center"/>
    </xf>
    <xf numFmtId="165" fontId="28" fillId="0" borderId="15" xfId="2" applyNumberFormat="1" applyFont="1" applyBorder="1" applyAlignment="1">
      <alignment horizontal="center" vertical="center"/>
    </xf>
    <xf numFmtId="165" fontId="28" fillId="0" borderId="16" xfId="2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165" fontId="25" fillId="0" borderId="1" xfId="2" applyNumberFormat="1" applyFont="1" applyBorder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0" fontId="3" fillId="0" borderId="0" xfId="0" applyNumberFormat="1" applyFont="1" applyAlignment="1" applyProtection="1">
      <alignment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41" fillId="0" borderId="0" xfId="0" applyFont="1" applyAlignment="1" applyProtection="1">
      <alignment horizontal="center" vertical="center"/>
    </xf>
    <xf numFmtId="0" fontId="42" fillId="0" borderId="0" xfId="0" applyFont="1" applyAlignment="1" applyProtection="1">
      <alignment horizontal="right" vertical="center"/>
    </xf>
    <xf numFmtId="0" fontId="43" fillId="0" borderId="0" xfId="0" applyFont="1" applyAlignment="1" applyProtection="1">
      <alignment horizontal="left" vertical="center"/>
    </xf>
    <xf numFmtId="17" fontId="44" fillId="0" borderId="0" xfId="0" applyNumberFormat="1" applyFont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Alignment="1">
      <alignment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" fontId="2" fillId="0" borderId="0" xfId="0" applyNumberFormat="1" applyFont="1" applyAlignment="1">
      <alignment horizontal="center" vertical="center"/>
    </xf>
    <xf numFmtId="166" fontId="26" fillId="2" borderId="1" xfId="0" applyNumberFormat="1" applyFont="1" applyFill="1" applyBorder="1" applyAlignment="1" applyProtection="1">
      <alignment horizontal="center" vertical="center"/>
    </xf>
    <xf numFmtId="166" fontId="9" fillId="0" borderId="7" xfId="0" applyNumberFormat="1" applyFont="1" applyBorder="1" applyAlignment="1" applyProtection="1">
      <alignment horizontal="center" vertical="center"/>
    </xf>
    <xf numFmtId="166" fontId="9" fillId="0" borderId="8" xfId="0" applyNumberFormat="1" applyFont="1" applyBorder="1" applyAlignment="1" applyProtection="1">
      <alignment horizontal="center" vertical="center"/>
    </xf>
    <xf numFmtId="0" fontId="46" fillId="0" borderId="0" xfId="0" applyFont="1" applyAlignment="1" applyProtection="1">
      <alignment horizontal="center"/>
    </xf>
    <xf numFmtId="0" fontId="7" fillId="0" borderId="0" xfId="0" applyFont="1" applyFill="1" applyProtection="1"/>
    <xf numFmtId="0" fontId="47" fillId="0" borderId="0" xfId="0" applyFont="1" applyAlignment="1" applyProtection="1">
      <alignment horizontal="right"/>
    </xf>
    <xf numFmtId="0" fontId="48" fillId="0" borderId="13" xfId="0" applyFont="1" applyBorder="1" applyAlignment="1" applyProtection="1">
      <alignment horizontal="center"/>
      <protection locked="0"/>
    </xf>
    <xf numFmtId="0" fontId="49" fillId="0" borderId="13" xfId="0" applyFont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left" vertical="center"/>
    </xf>
    <xf numFmtId="0" fontId="45" fillId="0" borderId="0" xfId="0" applyFont="1" applyFill="1" applyProtection="1"/>
    <xf numFmtId="166" fontId="26" fillId="0" borderId="0" xfId="0" applyNumberFormat="1" applyFont="1" applyFill="1" applyBorder="1" applyAlignment="1" applyProtection="1">
      <alignment horizontal="center" vertical="center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46" fillId="0" borderId="0" xfId="0" applyFont="1" applyFill="1" applyAlignment="1" applyProtection="1">
      <alignment horizontal="center"/>
    </xf>
    <xf numFmtId="1" fontId="5" fillId="0" borderId="0" xfId="0" applyNumberFormat="1" applyFont="1" applyAlignment="1">
      <alignment vertical="center"/>
    </xf>
    <xf numFmtId="1" fontId="2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 applyProtection="1">
      <alignment vertical="center"/>
    </xf>
    <xf numFmtId="1" fontId="0" fillId="0" borderId="0" xfId="0" applyNumberForma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9" fillId="0" borderId="0" xfId="0" applyFont="1" applyProtection="1"/>
    <xf numFmtId="0" fontId="46" fillId="2" borderId="0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center" wrapText="1"/>
    </xf>
    <xf numFmtId="0" fontId="46" fillId="2" borderId="0" xfId="0" applyFont="1" applyFill="1" applyBorder="1" applyAlignment="1" applyProtection="1">
      <alignment horizontal="center" vertical="center" wrapText="1"/>
    </xf>
    <xf numFmtId="1" fontId="7" fillId="0" borderId="3" xfId="0" applyNumberFormat="1" applyFont="1" applyBorder="1" applyAlignment="1">
      <alignment vertical="center"/>
    </xf>
    <xf numFmtId="1" fontId="6" fillId="0" borderId="0" xfId="0" applyNumberFormat="1" applyFont="1" applyBorder="1" applyAlignment="1">
      <alignment horizontal="left" vertical="center"/>
    </xf>
    <xf numFmtId="0" fontId="7" fillId="0" borderId="3" xfId="0" applyNumberFormat="1" applyFont="1" applyBorder="1" applyAlignment="1" applyProtection="1">
      <alignment vertical="center"/>
    </xf>
    <xf numFmtId="167" fontId="10" fillId="0" borderId="0" xfId="0" applyNumberFormat="1" applyFont="1" applyBorder="1" applyAlignment="1" applyProtection="1">
      <alignment horizontal="center" vertical="center"/>
    </xf>
    <xf numFmtId="167" fontId="10" fillId="0" borderId="5" xfId="0" applyNumberFormat="1" applyFont="1" applyBorder="1" applyAlignment="1" applyProtection="1">
      <alignment horizontal="center" vertical="center"/>
    </xf>
    <xf numFmtId="167" fontId="6" fillId="0" borderId="0" xfId="0" applyNumberFormat="1" applyFont="1" applyBorder="1" applyAlignment="1" applyProtection="1">
      <alignment horizontal="center" vertical="center"/>
    </xf>
    <xf numFmtId="0" fontId="7" fillId="0" borderId="0" xfId="0" applyFont="1" applyProtection="1"/>
    <xf numFmtId="1" fontId="14" fillId="0" borderId="20" xfId="0" applyNumberFormat="1" applyFont="1" applyBorder="1" applyAlignment="1">
      <alignment vertical="center"/>
    </xf>
    <xf numFmtId="1" fontId="14" fillId="0" borderId="21" xfId="0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/>
    </xf>
    <xf numFmtId="1" fontId="14" fillId="0" borderId="22" xfId="0" applyNumberFormat="1" applyFont="1" applyBorder="1" applyAlignment="1">
      <alignment horizontal="center"/>
    </xf>
    <xf numFmtId="1" fontId="22" fillId="0" borderId="21" xfId="0" applyNumberFormat="1" applyFont="1" applyBorder="1" applyAlignment="1">
      <alignment horizontal="left"/>
    </xf>
    <xf numFmtId="0" fontId="14" fillId="0" borderId="20" xfId="0" applyNumberFormat="1" applyFont="1" applyBorder="1" applyAlignment="1" applyProtection="1">
      <alignment vertical="center"/>
    </xf>
    <xf numFmtId="167" fontId="14" fillId="0" borderId="21" xfId="0" applyNumberFormat="1" applyFont="1" applyBorder="1" applyAlignment="1" applyProtection="1">
      <alignment horizontal="center" vertical="center"/>
    </xf>
    <xf numFmtId="167" fontId="14" fillId="0" borderId="21" xfId="0" applyNumberFormat="1" applyFont="1" applyBorder="1" applyAlignment="1" applyProtection="1">
      <alignment horizontal="center"/>
    </xf>
    <xf numFmtId="167" fontId="14" fillId="0" borderId="22" xfId="0" applyNumberFormat="1" applyFont="1" applyBorder="1" applyAlignment="1" applyProtection="1">
      <alignment horizontal="center"/>
    </xf>
    <xf numFmtId="167" fontId="22" fillId="0" borderId="21" xfId="0" applyNumberFormat="1" applyFont="1" applyBorder="1" applyAlignment="1" applyProtection="1">
      <alignment horizontal="center"/>
    </xf>
    <xf numFmtId="167" fontId="7" fillId="0" borderId="0" xfId="0" applyNumberFormat="1" applyFont="1" applyProtection="1"/>
    <xf numFmtId="1" fontId="14" fillId="0" borderId="3" xfId="0" applyNumberFormat="1" applyFont="1" applyBorder="1" applyAlignment="1">
      <alignment vertical="center"/>
    </xf>
    <xf numFmtId="1" fontId="14" fillId="0" borderId="0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1" fontId="22" fillId="0" borderId="0" xfId="0" applyNumberFormat="1" applyFont="1" applyBorder="1" applyAlignment="1">
      <alignment horizontal="left"/>
    </xf>
    <xf numFmtId="0" fontId="14" fillId="0" borderId="3" xfId="0" applyNumberFormat="1" applyFont="1" applyBorder="1" applyAlignment="1" applyProtection="1">
      <alignment vertical="center"/>
    </xf>
    <xf numFmtId="167" fontId="14" fillId="0" borderId="0" xfId="0" applyNumberFormat="1" applyFont="1" applyBorder="1" applyAlignment="1" applyProtection="1">
      <alignment horizontal="center"/>
    </xf>
    <xf numFmtId="167" fontId="14" fillId="0" borderId="5" xfId="0" applyNumberFormat="1" applyFont="1" applyBorder="1" applyAlignment="1" applyProtection="1">
      <alignment horizontal="center"/>
    </xf>
    <xf numFmtId="167" fontId="22" fillId="0" borderId="0" xfId="0" applyNumberFormat="1" applyFont="1" applyBorder="1" applyAlignment="1" applyProtection="1">
      <alignment horizontal="center"/>
    </xf>
    <xf numFmtId="1" fontId="22" fillId="0" borderId="0" xfId="0" applyNumberFormat="1" applyFont="1" applyBorder="1" applyAlignment="1">
      <alignment horizontal="left" vertical="center"/>
    </xf>
    <xf numFmtId="167" fontId="14" fillId="0" borderId="0" xfId="0" applyNumberFormat="1" applyFont="1" applyBorder="1" applyAlignment="1" applyProtection="1">
      <alignment horizontal="center" vertical="center"/>
    </xf>
    <xf numFmtId="167" fontId="14" fillId="0" borderId="8" xfId="0" applyNumberFormat="1" applyFont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/>
    </xf>
    <xf numFmtId="1" fontId="40" fillId="0" borderId="0" xfId="0" applyNumberFormat="1" applyFont="1" applyBorder="1" applyAlignment="1">
      <alignment horizontal="center" vertical="center"/>
    </xf>
    <xf numFmtId="167" fontId="40" fillId="0" borderId="0" xfId="0" applyNumberFormat="1" applyFont="1" applyBorder="1" applyAlignment="1" applyProtection="1">
      <alignment horizontal="center" vertical="center"/>
    </xf>
    <xf numFmtId="1" fontId="40" fillId="0" borderId="1" xfId="0" applyNumberFormat="1" applyFont="1" applyBorder="1" applyAlignment="1">
      <alignment horizontal="right" vertical="center"/>
    </xf>
    <xf numFmtId="0" fontId="40" fillId="0" borderId="1" xfId="0" applyNumberFormat="1" applyFont="1" applyBorder="1" applyAlignment="1" applyProtection="1">
      <alignment horizontal="right" vertical="center"/>
    </xf>
    <xf numFmtId="167" fontId="40" fillId="0" borderId="1" xfId="0" applyNumberFormat="1" applyFont="1" applyBorder="1" applyAlignment="1" applyProtection="1">
      <alignment horizontal="center" vertical="center"/>
    </xf>
    <xf numFmtId="1" fontId="7" fillId="0" borderId="0" xfId="0" applyNumberFormat="1" applyFont="1" applyAlignment="1">
      <alignment vertical="center"/>
    </xf>
    <xf numFmtId="0" fontId="0" fillId="0" borderId="0" xfId="0" applyNumberFormat="1" applyAlignment="1" applyProtection="1">
      <alignment vertical="center"/>
    </xf>
    <xf numFmtId="1" fontId="17" fillId="0" borderId="0" xfId="0" applyNumberFormat="1" applyFont="1" applyAlignment="1">
      <alignment vertical="center"/>
    </xf>
    <xf numFmtId="0" fontId="17" fillId="0" borderId="0" xfId="0" applyNumberFormat="1" applyFont="1" applyAlignment="1" applyProtection="1">
      <alignment vertical="center"/>
    </xf>
    <xf numFmtId="0" fontId="2" fillId="0" borderId="0" xfId="0" applyFont="1" applyProtection="1"/>
    <xf numFmtId="1" fontId="18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 applyProtection="1">
      <alignment horizontal="center" vertical="center"/>
    </xf>
    <xf numFmtId="167" fontId="19" fillId="0" borderId="5" xfId="0" applyNumberFormat="1" applyFont="1" applyBorder="1" applyAlignment="1" applyProtection="1">
      <alignment horizontal="center" vertical="center"/>
    </xf>
    <xf numFmtId="167" fontId="18" fillId="0" borderId="0" xfId="0" applyNumberFormat="1" applyFont="1" applyBorder="1" applyAlignment="1" applyProtection="1">
      <alignment horizontal="center" vertical="center"/>
    </xf>
    <xf numFmtId="1" fontId="27" fillId="0" borderId="1" xfId="0" applyNumberFormat="1" applyFont="1" applyBorder="1" applyAlignment="1">
      <alignment horizontal="right" vertical="center"/>
    </xf>
    <xf numFmtId="0" fontId="27" fillId="0" borderId="1" xfId="0" applyNumberFormat="1" applyFont="1" applyBorder="1" applyAlignment="1" applyProtection="1">
      <alignment horizontal="right" vertical="center"/>
    </xf>
    <xf numFmtId="167" fontId="27" fillId="0" borderId="1" xfId="0" applyNumberFormat="1" applyFont="1" applyBorder="1" applyAlignment="1" applyProtection="1">
      <alignment horizontal="center" vertical="center"/>
    </xf>
    <xf numFmtId="167" fontId="45" fillId="0" borderId="0" xfId="0" applyNumberFormat="1" applyFont="1" applyAlignment="1" applyProtection="1">
      <alignment horizontal="center"/>
    </xf>
    <xf numFmtId="1" fontId="7" fillId="0" borderId="0" xfId="0" applyNumberFormat="1" applyFont="1" applyProtection="1"/>
    <xf numFmtId="1" fontId="45" fillId="0" borderId="0" xfId="0" applyNumberFormat="1" applyFont="1" applyAlignment="1" applyProtection="1">
      <alignment horizontal="center"/>
    </xf>
    <xf numFmtId="0" fontId="15" fillId="0" borderId="0" xfId="0" applyNumberFormat="1" applyFont="1" applyAlignment="1" applyProtection="1">
      <alignment horizontal="center" vertical="center"/>
    </xf>
    <xf numFmtId="2" fontId="15" fillId="0" borderId="0" xfId="0" applyNumberFormat="1" applyFont="1" applyAlignment="1" applyProtection="1">
      <alignment horizontal="center" vertical="center"/>
    </xf>
    <xf numFmtId="165" fontId="15" fillId="0" borderId="0" xfId="2" applyNumberFormat="1" applyFont="1"/>
    <xf numFmtId="0" fontId="4" fillId="0" borderId="0" xfId="0" applyFont="1" applyAlignment="1">
      <alignment horizontal="right"/>
    </xf>
    <xf numFmtId="0" fontId="50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1" fontId="15" fillId="0" borderId="0" xfId="0" applyNumberFormat="1" applyFont="1" applyAlignment="1" applyProtection="1">
      <alignment horizontal="right" vertical="center" wrapText="1"/>
      <protection locked="0"/>
    </xf>
    <xf numFmtId="9" fontId="15" fillId="0" borderId="3" xfId="2" applyNumberFormat="1" applyFont="1" applyBorder="1" applyAlignment="1">
      <alignment horizontal="center"/>
    </xf>
    <xf numFmtId="9" fontId="15" fillId="0" borderId="2" xfId="2" applyNumberFormat="1" applyFont="1" applyBorder="1" applyAlignment="1">
      <alignment horizontal="center"/>
    </xf>
    <xf numFmtId="165" fontId="15" fillId="0" borderId="0" xfId="2" applyNumberFormat="1" applyFont="1" applyAlignment="1">
      <alignment horizontal="center"/>
    </xf>
    <xf numFmtId="1" fontId="15" fillId="0" borderId="0" xfId="0" applyNumberFormat="1" applyFont="1" applyBorder="1" applyAlignment="1" applyProtection="1">
      <alignment horizontal="right" vertical="center" wrapText="1"/>
      <protection locked="0"/>
    </xf>
    <xf numFmtId="168" fontId="15" fillId="0" borderId="5" xfId="0" applyNumberFormat="1" applyFont="1" applyBorder="1" applyAlignment="1" applyProtection="1">
      <alignment horizontal="center"/>
      <protection locked="0"/>
    </xf>
    <xf numFmtId="1" fontId="15" fillId="0" borderId="0" xfId="0" applyNumberFormat="1" applyFont="1" applyAlignment="1" applyProtection="1">
      <alignment horizontal="right"/>
      <protection locked="0"/>
    </xf>
    <xf numFmtId="1" fontId="15" fillId="0" borderId="0" xfId="0" applyNumberFormat="1" applyFont="1" applyBorder="1" applyAlignment="1" applyProtection="1">
      <alignment horizontal="right"/>
      <protection locked="0"/>
    </xf>
    <xf numFmtId="9" fontId="15" fillId="0" borderId="23" xfId="2" applyNumberFormat="1" applyFont="1" applyBorder="1" applyAlignment="1">
      <alignment horizontal="center"/>
    </xf>
    <xf numFmtId="0" fontId="7" fillId="2" borderId="2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4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9" fontId="9" fillId="0" borderId="24" xfId="0" applyNumberFormat="1" applyFont="1" applyBorder="1"/>
    <xf numFmtId="9" fontId="39" fillId="0" borderId="11" xfId="2" applyNumberFormat="1" applyFont="1" applyBorder="1" applyAlignment="1">
      <alignment horizontal="center"/>
    </xf>
    <xf numFmtId="9" fontId="39" fillId="0" borderId="12" xfId="2" applyNumberFormat="1" applyFont="1" applyBorder="1" applyAlignment="1">
      <alignment horizontal="center"/>
    </xf>
    <xf numFmtId="9" fontId="39" fillId="0" borderId="4" xfId="2" applyNumberFormat="1" applyFont="1" applyBorder="1" applyAlignment="1">
      <alignment horizontal="center"/>
    </xf>
    <xf numFmtId="168" fontId="4" fillId="0" borderId="0" xfId="0" applyNumberFormat="1" applyFont="1"/>
    <xf numFmtId="169" fontId="8" fillId="0" borderId="0" xfId="0" applyNumberFormat="1" applyFont="1" applyBorder="1"/>
    <xf numFmtId="168" fontId="45" fillId="0" borderId="5" xfId="0" applyNumberFormat="1" applyFont="1" applyBorder="1" applyAlignment="1">
      <alignment horizontal="center"/>
    </xf>
    <xf numFmtId="168" fontId="15" fillId="0" borderId="4" xfId="0" applyNumberFormat="1" applyFont="1" applyBorder="1" applyAlignment="1">
      <alignment horizontal="center"/>
    </xf>
    <xf numFmtId="0" fontId="0" fillId="0" borderId="0" xfId="0" applyFont="1"/>
    <xf numFmtId="169" fontId="9" fillId="0" borderId="2" xfId="0" applyNumberFormat="1" applyFont="1" applyBorder="1"/>
    <xf numFmtId="9" fontId="39" fillId="0" borderId="3" xfId="2" applyNumberFormat="1" applyFont="1" applyBorder="1" applyAlignment="1">
      <alignment horizontal="center"/>
    </xf>
    <xf numFmtId="9" fontId="39" fillId="0" borderId="0" xfId="2" applyNumberFormat="1" applyFont="1" applyBorder="1" applyAlignment="1">
      <alignment horizontal="center"/>
    </xf>
    <xf numFmtId="9" fontId="39" fillId="0" borderId="5" xfId="2" applyNumberFormat="1" applyFont="1" applyBorder="1" applyAlignment="1">
      <alignment horizontal="center"/>
    </xf>
    <xf numFmtId="168" fontId="15" fillId="0" borderId="5" xfId="0" applyNumberFormat="1" applyFont="1" applyBorder="1" applyAlignment="1">
      <alignment horizontal="center"/>
    </xf>
    <xf numFmtId="169" fontId="9" fillId="0" borderId="25" xfId="0" applyNumberFormat="1" applyFont="1" applyBorder="1"/>
    <xf numFmtId="9" fontId="39" fillId="0" borderId="17" xfId="2" applyNumberFormat="1" applyFont="1" applyBorder="1" applyAlignment="1">
      <alignment horizontal="center"/>
    </xf>
    <xf numFmtId="9" fontId="39" fillId="0" borderId="18" xfId="2" applyNumberFormat="1" applyFont="1" applyBorder="1" applyAlignment="1">
      <alignment horizontal="center"/>
    </xf>
    <xf numFmtId="9" fontId="39" fillId="0" borderId="19" xfId="2" applyNumberFormat="1" applyFont="1" applyBorder="1" applyAlignment="1">
      <alignment horizontal="center"/>
    </xf>
    <xf numFmtId="165" fontId="15" fillId="0" borderId="18" xfId="2" applyNumberFormat="1" applyFont="1" applyBorder="1"/>
    <xf numFmtId="168" fontId="4" fillId="0" borderId="18" xfId="0" applyNumberFormat="1" applyFont="1" applyBorder="1"/>
    <xf numFmtId="169" fontId="8" fillId="0" borderId="18" xfId="0" applyNumberFormat="1" applyFont="1" applyBorder="1"/>
    <xf numFmtId="168" fontId="45" fillId="0" borderId="19" xfId="0" applyNumberFormat="1" applyFont="1" applyBorder="1" applyAlignment="1">
      <alignment horizontal="center"/>
    </xf>
    <xf numFmtId="168" fontId="15" fillId="0" borderId="19" xfId="0" applyNumberFormat="1" applyFont="1" applyBorder="1" applyAlignment="1">
      <alignment horizontal="center"/>
    </xf>
    <xf numFmtId="0" fontId="0" fillId="0" borderId="18" xfId="0" applyFont="1" applyBorder="1"/>
    <xf numFmtId="168" fontId="15" fillId="0" borderId="0" xfId="0" applyNumberFormat="1" applyFont="1"/>
    <xf numFmtId="168" fontId="46" fillId="0" borderId="5" xfId="0" applyNumberFormat="1" applyFont="1" applyBorder="1" applyAlignment="1">
      <alignment horizontal="center"/>
    </xf>
    <xf numFmtId="0" fontId="41" fillId="0" borderId="0" xfId="0" applyFont="1"/>
    <xf numFmtId="169" fontId="9" fillId="0" borderId="23" xfId="0" applyNumberFormat="1" applyFont="1" applyBorder="1"/>
    <xf numFmtId="9" fontId="39" fillId="0" borderId="6" xfId="2" applyNumberFormat="1" applyFont="1" applyBorder="1" applyAlignment="1">
      <alignment horizontal="center"/>
    </xf>
    <xf numFmtId="9" fontId="39" fillId="0" borderId="7" xfId="2" applyNumberFormat="1" applyFont="1" applyBorder="1" applyAlignment="1">
      <alignment horizontal="center"/>
    </xf>
    <xf numFmtId="9" fontId="39" fillId="0" borderId="8" xfId="2" applyNumberFormat="1" applyFont="1" applyBorder="1" applyAlignment="1">
      <alignment horizontal="center"/>
    </xf>
    <xf numFmtId="168" fontId="46" fillId="0" borderId="8" xfId="0" applyNumberFormat="1" applyFont="1" applyBorder="1" applyAlignment="1">
      <alignment horizontal="center"/>
    </xf>
    <xf numFmtId="168" fontId="15" fillId="0" borderId="8" xfId="0" applyNumberFormat="1" applyFont="1" applyBorder="1" applyAlignment="1">
      <alignment horizontal="center"/>
    </xf>
    <xf numFmtId="0" fontId="16" fillId="0" borderId="0" xfId="0" applyFont="1" applyBorder="1"/>
    <xf numFmtId="0" fontId="30" fillId="2" borderId="1" xfId="0" applyFont="1" applyFill="1" applyBorder="1" applyAlignment="1">
      <alignment horizontal="center" vertical="center" wrapText="1"/>
    </xf>
    <xf numFmtId="166" fontId="7" fillId="2" borderId="9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166" fontId="15" fillId="2" borderId="9" xfId="0" applyNumberFormat="1" applyFont="1" applyFill="1" applyBorder="1" applyAlignment="1">
      <alignment horizontal="center" vertical="center" wrapText="1"/>
    </xf>
    <xf numFmtId="168" fontId="15" fillId="0" borderId="2" xfId="0" applyNumberFormat="1" applyFont="1" applyBorder="1" applyAlignment="1" applyProtection="1">
      <alignment horizontal="center"/>
      <protection locked="0"/>
    </xf>
    <xf numFmtId="168" fontId="15" fillId="0" borderId="23" xfId="0" applyNumberFormat="1" applyFont="1" applyBorder="1" applyAlignment="1" applyProtection="1">
      <alignment horizontal="center"/>
      <protection locked="0"/>
    </xf>
    <xf numFmtId="9" fontId="39" fillId="0" borderId="24" xfId="2" applyNumberFormat="1" applyFont="1" applyBorder="1" applyAlignment="1">
      <alignment horizontal="center"/>
    </xf>
    <xf numFmtId="1" fontId="45" fillId="0" borderId="5" xfId="0" applyNumberFormat="1" applyFont="1" applyBorder="1" applyAlignment="1">
      <alignment horizontal="center"/>
    </xf>
    <xf numFmtId="9" fontId="39" fillId="0" borderId="2" xfId="2" applyNumberFormat="1" applyFont="1" applyBorder="1" applyAlignment="1">
      <alignment horizontal="center"/>
    </xf>
    <xf numFmtId="9" fontId="39" fillId="0" borderId="25" xfId="2" applyNumberFormat="1" applyFont="1" applyBorder="1" applyAlignment="1">
      <alignment horizontal="center"/>
    </xf>
    <xf numFmtId="0" fontId="4" fillId="0" borderId="18" xfId="0" applyFont="1" applyBorder="1"/>
    <xf numFmtId="1" fontId="45" fillId="0" borderId="19" xfId="0" applyNumberFormat="1" applyFont="1" applyBorder="1" applyAlignment="1">
      <alignment horizontal="center"/>
    </xf>
    <xf numFmtId="0" fontId="15" fillId="0" borderId="0" xfId="0" applyFont="1"/>
    <xf numFmtId="9" fontId="39" fillId="0" borderId="23" xfId="2" applyNumberFormat="1" applyFont="1" applyBorder="1" applyAlignment="1">
      <alignment horizontal="center"/>
    </xf>
    <xf numFmtId="1" fontId="45" fillId="0" borderId="8" xfId="0" applyNumberFormat="1" applyFont="1" applyBorder="1" applyAlignment="1">
      <alignment horizontal="center"/>
    </xf>
    <xf numFmtId="0" fontId="53" fillId="2" borderId="1" xfId="0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168" fontId="54" fillId="0" borderId="12" xfId="0" applyNumberFormat="1" applyFont="1" applyBorder="1" applyAlignment="1">
      <alignment horizontal="center"/>
    </xf>
    <xf numFmtId="168" fontId="54" fillId="0" borderId="4" xfId="0" applyNumberFormat="1" applyFont="1" applyBorder="1" applyAlignment="1">
      <alignment horizontal="center"/>
    </xf>
    <xf numFmtId="0" fontId="0" fillId="0" borderId="3" xfId="0" applyBorder="1"/>
    <xf numFmtId="1" fontId="55" fillId="0" borderId="0" xfId="0" applyNumberFormat="1" applyFont="1" applyBorder="1" applyAlignment="1">
      <alignment horizontal="center"/>
    </xf>
    <xf numFmtId="1" fontId="55" fillId="0" borderId="5" xfId="0" applyNumberFormat="1" applyFont="1" applyBorder="1" applyAlignment="1">
      <alignment horizontal="center"/>
    </xf>
    <xf numFmtId="0" fontId="0" fillId="0" borderId="6" xfId="0" applyBorder="1"/>
    <xf numFmtId="165" fontId="55" fillId="0" borderId="7" xfId="2" applyNumberFormat="1" applyFont="1" applyBorder="1" applyAlignment="1">
      <alignment horizontal="center"/>
    </xf>
    <xf numFmtId="165" fontId="55" fillId="0" borderId="7" xfId="0" applyNumberFormat="1" applyFont="1" applyBorder="1" applyAlignment="1">
      <alignment horizontal="center"/>
    </xf>
    <xf numFmtId="165" fontId="55" fillId="0" borderId="8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right"/>
    </xf>
    <xf numFmtId="1" fontId="55" fillId="0" borderId="12" xfId="0" applyNumberFormat="1" applyFont="1" applyBorder="1" applyAlignment="1">
      <alignment horizontal="center"/>
    </xf>
    <xf numFmtId="0" fontId="56" fillId="0" borderId="3" xfId="0" applyFont="1" applyBorder="1" applyAlignment="1">
      <alignment horizontal="right"/>
    </xf>
    <xf numFmtId="1" fontId="57" fillId="0" borderId="0" xfId="0" applyNumberFormat="1" applyFont="1" applyBorder="1" applyAlignment="1">
      <alignment horizontal="center"/>
    </xf>
    <xf numFmtId="0" fontId="0" fillId="0" borderId="6" xfId="0" applyFont="1" applyBorder="1" applyAlignment="1">
      <alignment horizontal="right"/>
    </xf>
    <xf numFmtId="1" fontId="55" fillId="0" borderId="7" xfId="0" applyNumberFormat="1" applyFont="1" applyBorder="1" applyAlignment="1">
      <alignment horizontal="center"/>
    </xf>
    <xf numFmtId="0" fontId="33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1" fontId="15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58" fillId="0" borderId="3" xfId="0" applyFont="1" applyBorder="1" applyAlignment="1">
      <alignment horizontal="right"/>
    </xf>
    <xf numFmtId="1" fontId="15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54" fillId="0" borderId="12" xfId="2" applyNumberFormat="1" applyFont="1" applyBorder="1" applyAlignment="1">
      <alignment horizontal="center"/>
    </xf>
    <xf numFmtId="165" fontId="54" fillId="0" borderId="4" xfId="2" applyNumberFormat="1" applyFont="1" applyBorder="1" applyAlignment="1">
      <alignment horizontal="center"/>
    </xf>
    <xf numFmtId="165" fontId="55" fillId="0" borderId="0" xfId="2" applyNumberFormat="1" applyFont="1" applyBorder="1" applyAlignment="1">
      <alignment horizontal="center"/>
    </xf>
    <xf numFmtId="165" fontId="55" fillId="0" borderId="5" xfId="2" applyNumberFormat="1" applyFont="1" applyBorder="1" applyAlignment="1">
      <alignment horizontal="center"/>
    </xf>
    <xf numFmtId="0" fontId="9" fillId="2" borderId="11" xfId="0" applyFont="1" applyFill="1" applyBorder="1" applyAlignment="1">
      <alignment horizontal="center" vertical="center" wrapText="1"/>
    </xf>
    <xf numFmtId="165" fontId="55" fillId="0" borderId="12" xfId="2" applyNumberFormat="1" applyFont="1" applyBorder="1" applyAlignment="1">
      <alignment horizontal="center"/>
    </xf>
    <xf numFmtId="165" fontId="55" fillId="0" borderId="12" xfId="0" applyNumberFormat="1" applyFont="1" applyBorder="1" applyAlignment="1">
      <alignment horizontal="center"/>
    </xf>
    <xf numFmtId="165" fontId="55" fillId="0" borderId="4" xfId="0" applyNumberFormat="1" applyFont="1" applyBorder="1" applyAlignment="1">
      <alignment horizontal="center"/>
    </xf>
    <xf numFmtId="0" fontId="46" fillId="2" borderId="6" xfId="0" applyFont="1" applyFill="1" applyBorder="1" applyAlignment="1">
      <alignment horizontal="center" vertical="center" wrapText="1"/>
    </xf>
    <xf numFmtId="165" fontId="40" fillId="0" borderId="7" xfId="2" applyNumberFormat="1" applyFont="1" applyBorder="1" applyAlignment="1">
      <alignment horizontal="center"/>
    </xf>
    <xf numFmtId="165" fontId="40" fillId="0" borderId="7" xfId="0" applyNumberFormat="1" applyFont="1" applyBorder="1" applyAlignment="1">
      <alignment horizontal="center"/>
    </xf>
    <xf numFmtId="165" fontId="40" fillId="0" borderId="8" xfId="0" applyNumberFormat="1" applyFont="1" applyBorder="1" applyAlignment="1">
      <alignment horizontal="center"/>
    </xf>
    <xf numFmtId="0" fontId="46" fillId="0" borderId="0" xfId="0" applyFont="1" applyFill="1" applyBorder="1" applyAlignment="1">
      <alignment horizontal="left" vertical="center"/>
    </xf>
    <xf numFmtId="0" fontId="45" fillId="0" borderId="0" xfId="0" applyFont="1"/>
    <xf numFmtId="1" fontId="60" fillId="0" borderId="5" xfId="0" applyNumberFormat="1" applyFont="1" applyBorder="1" applyAlignment="1">
      <alignment horizontal="center"/>
    </xf>
    <xf numFmtId="1" fontId="41" fillId="0" borderId="5" xfId="0" applyNumberFormat="1" applyFont="1" applyBorder="1" applyAlignment="1">
      <alignment horizontal="center"/>
    </xf>
    <xf numFmtId="1" fontId="41" fillId="0" borderId="8" xfId="0" applyNumberFormat="1" applyFont="1" applyBorder="1" applyAlignment="1">
      <alignment horizontal="center"/>
    </xf>
    <xf numFmtId="0" fontId="26" fillId="2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1" fontId="41" fillId="0" borderId="3" xfId="0" applyNumberFormat="1" applyFont="1" applyBorder="1" applyAlignment="1">
      <alignment horizontal="center"/>
    </xf>
    <xf numFmtId="1" fontId="60" fillId="0" borderId="3" xfId="0" applyNumberFormat="1" applyFont="1" applyBorder="1" applyAlignment="1">
      <alignment horizontal="center"/>
    </xf>
    <xf numFmtId="1" fontId="41" fillId="0" borderId="6" xfId="0" applyNumberFormat="1" applyFont="1" applyBorder="1" applyAlignment="1">
      <alignment horizontal="center"/>
    </xf>
    <xf numFmtId="1" fontId="61" fillId="0" borderId="0" xfId="0" applyNumberFormat="1" applyFont="1" applyBorder="1" applyAlignment="1">
      <alignment horizontal="center"/>
    </xf>
    <xf numFmtId="10" fontId="15" fillId="0" borderId="0" xfId="2" applyNumberFormat="1" applyFont="1" applyBorder="1" applyAlignment="1">
      <alignment horizontal="center"/>
    </xf>
    <xf numFmtId="10" fontId="55" fillId="0" borderId="12" xfId="2" applyNumberFormat="1" applyFont="1" applyBorder="1" applyAlignment="1">
      <alignment horizontal="center"/>
    </xf>
    <xf numFmtId="10" fontId="41" fillId="0" borderId="3" xfId="2" applyNumberFormat="1" applyFont="1" applyBorder="1" applyAlignment="1">
      <alignment horizontal="center"/>
    </xf>
    <xf numFmtId="10" fontId="41" fillId="0" borderId="5" xfId="2" applyNumberFormat="1" applyFont="1" applyBorder="1" applyAlignment="1">
      <alignment horizontal="center"/>
    </xf>
    <xf numFmtId="10" fontId="55" fillId="0" borderId="0" xfId="2" applyNumberFormat="1" applyFont="1" applyBorder="1" applyAlignment="1">
      <alignment horizontal="center"/>
    </xf>
    <xf numFmtId="10" fontId="55" fillId="0" borderId="7" xfId="2" applyNumberFormat="1" applyFont="1" applyBorder="1" applyAlignment="1">
      <alignment horizontal="center"/>
    </xf>
    <xf numFmtId="10" fontId="41" fillId="0" borderId="6" xfId="2" applyNumberFormat="1" applyFont="1" applyBorder="1" applyAlignment="1">
      <alignment horizontal="center"/>
    </xf>
    <xf numFmtId="10" fontId="41" fillId="0" borderId="8" xfId="2" applyNumberFormat="1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0" fontId="53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1" fontId="39" fillId="2" borderId="23" xfId="0" applyNumberFormat="1" applyFont="1" applyFill="1" applyBorder="1" applyAlignment="1">
      <alignment horizontal="center" vertical="center" wrapText="1"/>
    </xf>
    <xf numFmtId="1" fontId="39" fillId="2" borderId="24" xfId="0" applyNumberFormat="1" applyFont="1" applyFill="1" applyBorder="1" applyAlignment="1">
      <alignment horizontal="center" vertical="center" wrapText="1"/>
    </xf>
    <xf numFmtId="1" fontId="39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39" fillId="2" borderId="23" xfId="0" applyNumberFormat="1" applyFont="1" applyFill="1" applyBorder="1" applyAlignment="1">
      <alignment horizontal="center"/>
    </xf>
    <xf numFmtId="0" fontId="39" fillId="2" borderId="24" xfId="0" applyFont="1" applyFill="1" applyBorder="1" applyAlignment="1">
      <alignment horizontal="center"/>
    </xf>
    <xf numFmtId="170" fontId="15" fillId="0" borderId="11" xfId="0" applyNumberFormat="1" applyFont="1" applyBorder="1" applyAlignment="1">
      <alignment horizontal="center"/>
    </xf>
    <xf numFmtId="170" fontId="15" fillId="0" borderId="4" xfId="0" applyNumberFormat="1" applyFont="1" applyBorder="1" applyAlignment="1">
      <alignment horizontal="center"/>
    </xf>
    <xf numFmtId="170" fontId="15" fillId="0" borderId="3" xfId="0" applyNumberFormat="1" applyFont="1" applyBorder="1" applyAlignment="1">
      <alignment horizontal="center"/>
    </xf>
    <xf numFmtId="170" fontId="15" fillId="0" borderId="5" xfId="0" applyNumberFormat="1" applyFont="1" applyBorder="1" applyAlignment="1">
      <alignment horizontal="center"/>
    </xf>
    <xf numFmtId="170" fontId="15" fillId="0" borderId="6" xfId="0" applyNumberFormat="1" applyFont="1" applyBorder="1" applyAlignment="1">
      <alignment horizontal="center"/>
    </xf>
    <xf numFmtId="170" fontId="15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70" fontId="63" fillId="0" borderId="5" xfId="0" applyNumberFormat="1" applyFont="1" applyBorder="1" applyAlignment="1">
      <alignment horizontal="center"/>
    </xf>
    <xf numFmtId="170" fontId="63" fillId="0" borderId="8" xfId="0" applyNumberFormat="1" applyFont="1" applyBorder="1" applyAlignment="1">
      <alignment horizontal="center"/>
    </xf>
    <xf numFmtId="170" fontId="9" fillId="0" borderId="11" xfId="0" applyNumberFormat="1" applyFont="1" applyBorder="1" applyAlignment="1">
      <alignment horizontal="center"/>
    </xf>
    <xf numFmtId="170" fontId="9" fillId="0" borderId="12" xfId="0" applyNumberFormat="1" applyFont="1" applyBorder="1" applyAlignment="1">
      <alignment horizontal="center"/>
    </xf>
    <xf numFmtId="170" fontId="9" fillId="0" borderId="3" xfId="0" applyNumberFormat="1" applyFont="1" applyBorder="1" applyAlignment="1">
      <alignment horizontal="center"/>
    </xf>
    <xf numFmtId="170" fontId="9" fillId="0" borderId="0" xfId="0" applyNumberFormat="1" applyFont="1" applyBorder="1" applyAlignment="1">
      <alignment horizontal="center"/>
    </xf>
    <xf numFmtId="170" fontId="9" fillId="0" borderId="6" xfId="0" applyNumberFormat="1" applyFont="1" applyBorder="1" applyAlignment="1">
      <alignment horizontal="center"/>
    </xf>
    <xf numFmtId="170" fontId="9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165" fontId="55" fillId="0" borderId="2" xfId="2" applyNumberFormat="1" applyFont="1" applyBorder="1" applyAlignment="1">
      <alignment horizontal="center"/>
    </xf>
    <xf numFmtId="165" fontId="55" fillId="0" borderId="23" xfId="2" applyNumberFormat="1" applyFont="1" applyBorder="1" applyAlignment="1">
      <alignment horizontal="center"/>
    </xf>
    <xf numFmtId="165" fontId="40" fillId="0" borderId="2" xfId="2" applyNumberFormat="1" applyFont="1" applyBorder="1" applyAlignment="1">
      <alignment horizontal="center"/>
    </xf>
    <xf numFmtId="165" fontId="40" fillId="0" borderId="24" xfId="2" applyNumberFormat="1" applyFont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1" fontId="29" fillId="2" borderId="9" xfId="0" applyNumberFormat="1" applyFont="1" applyFill="1" applyBorder="1" applyAlignment="1">
      <alignment horizontal="right" vertical="center"/>
    </xf>
    <xf numFmtId="1" fontId="29" fillId="2" borderId="10" xfId="0" applyNumberFormat="1" applyFont="1" applyFill="1" applyBorder="1" applyAlignment="1">
      <alignment horizontal="right" vertical="center"/>
    </xf>
    <xf numFmtId="1" fontId="9" fillId="2" borderId="7" xfId="0" applyNumberFormat="1" applyFont="1" applyFill="1" applyBorder="1" applyAlignment="1">
      <alignment horizontal="center" vertical="center" wrapText="1"/>
    </xf>
    <xf numFmtId="1" fontId="9" fillId="2" borderId="8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left" vertical="center"/>
    </xf>
    <xf numFmtId="1" fontId="9" fillId="2" borderId="7" xfId="0" applyNumberFormat="1" applyFont="1" applyFill="1" applyBorder="1" applyAlignment="1">
      <alignment horizontal="left" vertical="center"/>
    </xf>
    <xf numFmtId="1" fontId="59" fillId="2" borderId="9" xfId="0" applyNumberFormat="1" applyFont="1" applyFill="1" applyBorder="1" applyAlignment="1">
      <alignment horizontal="right" vertical="center"/>
    </xf>
    <xf numFmtId="1" fontId="59" fillId="2" borderId="10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62" fillId="2" borderId="24" xfId="0" applyFont="1" applyFill="1" applyBorder="1" applyAlignment="1">
      <alignment horizontal="center"/>
    </xf>
    <xf numFmtId="0" fontId="62" fillId="2" borderId="23" xfId="0" applyFont="1" applyFill="1" applyBorder="1" applyAlignment="1">
      <alignment horizontal="center"/>
    </xf>
    <xf numFmtId="170" fontId="64" fillId="0" borderId="4" xfId="0" applyNumberFormat="1" applyFont="1" applyBorder="1" applyAlignment="1">
      <alignment horizontal="center"/>
    </xf>
    <xf numFmtId="170" fontId="64" fillId="0" borderId="5" xfId="0" applyNumberFormat="1" applyFont="1" applyBorder="1" applyAlignment="1">
      <alignment horizontal="center"/>
    </xf>
    <xf numFmtId="165" fontId="55" fillId="0" borderId="24" xfId="2" applyNumberFormat="1" applyFont="1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99">
    <dxf>
      <font>
        <color theme="0"/>
      </font>
    </dxf>
    <dxf>
      <font>
        <color theme="0"/>
      </font>
    </dxf>
    <dxf>
      <font>
        <color theme="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  <dxf>
      <font>
        <color rgb="FF006600"/>
      </font>
    </dxf>
    <dxf>
      <font>
        <color theme="5" tint="-0.24994659260841701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%'!$A$5</c:f>
          <c:strCache>
            <c:ptCount val="1"/>
            <c:pt idx="0">
              <c:v>Perte salissure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%'!$B$5:$P$5</c:f>
              <c:numCache>
                <c:formatCode>0.0%</c:formatCode>
                <c:ptCount val="15"/>
                <c:pt idx="0">
                  <c:v>8.2066513585501252E-2</c:v>
                </c:pt>
                <c:pt idx="1">
                  <c:v>7.279463496866663E-2</c:v>
                </c:pt>
                <c:pt idx="2">
                  <c:v>4.0878522946332305E-2</c:v>
                </c:pt>
                <c:pt idx="3">
                  <c:v>3.9662066796877289E-2</c:v>
                </c:pt>
                <c:pt idx="4">
                  <c:v>0.10553047200462641</c:v>
                </c:pt>
                <c:pt idx="5">
                  <c:v>9.150835972314636E-2</c:v>
                </c:pt>
                <c:pt idx="6">
                  <c:v>0.13209975019025294</c:v>
                </c:pt>
                <c:pt idx="7">
                  <c:v>3.1507888155670037E-2</c:v>
                </c:pt>
                <c:pt idx="8">
                  <c:v>3.555038745152693E-2</c:v>
                </c:pt>
                <c:pt idx="9">
                  <c:v>4.3468339145651673E-2</c:v>
                </c:pt>
                <c:pt idx="10">
                  <c:v>2.4124107549341148E-2</c:v>
                </c:pt>
                <c:pt idx="11">
                  <c:v>1.9945515546071518E-2</c:v>
                </c:pt>
                <c:pt idx="12">
                  <c:v>4.1707658943991616E-2</c:v>
                </c:pt>
                <c:pt idx="13">
                  <c:v>2.0742102046489776E-2</c:v>
                </c:pt>
                <c:pt idx="14">
                  <c:v>1.4934919672471136E-2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12400"/>
        <c:axId val="393115536"/>
      </c:barChart>
      <c:catAx>
        <c:axId val="39311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3115536"/>
        <c:crosses val="autoZero"/>
        <c:auto val="1"/>
        <c:lblAlgn val="ctr"/>
        <c:lblOffset val="100"/>
        <c:noMultiLvlLbl val="0"/>
      </c:catAx>
      <c:valAx>
        <c:axId val="393115536"/>
        <c:scaling>
          <c:orientation val="minMax"/>
          <c:max val="0.1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311240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%'!$A$6</c:f>
          <c:strCache>
            <c:ptCount val="1"/>
            <c:pt idx="0">
              <c:v>Gain instantanné nettoyage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4558180227471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%'!$B$6:$P$6</c:f>
              <c:numCache>
                <c:formatCode>0.0%</c:formatCode>
                <c:ptCount val="15"/>
                <c:pt idx="0">
                  <c:v>9.2374320811537389E-2</c:v>
                </c:pt>
                <c:pt idx="1">
                  <c:v>7.6966161784992645E-2</c:v>
                </c:pt>
                <c:pt idx="2">
                  <c:v>4.1728153322544911E-2</c:v>
                </c:pt>
                <c:pt idx="3">
                  <c:v>5.1744622120926613E-2</c:v>
                </c:pt>
                <c:pt idx="4">
                  <c:v>9.5363472841258151E-2</c:v>
                </c:pt>
                <c:pt idx="5">
                  <c:v>9.5265982743073477E-2</c:v>
                </c:pt>
                <c:pt idx="6">
                  <c:v>0.10249727570237151</c:v>
                </c:pt>
                <c:pt idx="7">
                  <c:v>7.724890312007289E-2</c:v>
                </c:pt>
                <c:pt idx="8">
                  <c:v>7.5356069233591422E-2</c:v>
                </c:pt>
                <c:pt idx="9">
                  <c:v>0.1076176218294741</c:v>
                </c:pt>
                <c:pt idx="10">
                  <c:v>3.7018769879940357E-2</c:v>
                </c:pt>
                <c:pt idx="11">
                  <c:v>4.4563380900108515E-2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16320"/>
        <c:axId val="393116712"/>
      </c:barChart>
      <c:catAx>
        <c:axId val="39311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3116712"/>
        <c:crosses val="autoZero"/>
        <c:auto val="1"/>
        <c:lblAlgn val="ctr"/>
        <c:lblOffset val="100"/>
        <c:noMultiLvlLbl val="0"/>
      </c:catAx>
      <c:valAx>
        <c:axId val="393116712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311632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%'!$A$4</c:f>
          <c:strCache>
            <c:ptCount val="1"/>
            <c:pt idx="0">
              <c:v>Masquage végé.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'Recap %'!$B$3:$P$3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%'!$B$4:$P$4</c:f>
              <c:numCache>
                <c:formatCode>0.0%</c:formatCode>
                <c:ptCount val="15"/>
                <c:pt idx="0">
                  <c:v>4.3637206482691517E-3</c:v>
                </c:pt>
                <c:pt idx="1">
                  <c:v>1.7034578592772934E-3</c:v>
                </c:pt>
                <c:pt idx="2">
                  <c:v>2.6741741248463818E-4</c:v>
                </c:pt>
                <c:pt idx="3">
                  <c:v>8.4511692811543247E-5</c:v>
                </c:pt>
                <c:pt idx="4">
                  <c:v>1.7521278204901995E-3</c:v>
                </c:pt>
                <c:pt idx="5">
                  <c:v>4.8886297070358637E-4</c:v>
                </c:pt>
                <c:pt idx="6">
                  <c:v>7.9308235864891732E-3</c:v>
                </c:pt>
                <c:pt idx="7">
                  <c:v>3.1640702108862539E-3</c:v>
                </c:pt>
                <c:pt idx="8">
                  <c:v>5.7865315866421473E-4</c:v>
                </c:pt>
                <c:pt idx="9">
                  <c:v>2.9469959024322126E-5</c:v>
                </c:pt>
                <c:pt idx="10">
                  <c:v>1.4040121021726397E-5</c:v>
                </c:pt>
                <c:pt idx="11">
                  <c:v>1.2374153780807874E-4</c:v>
                </c:pt>
                <c:pt idx="12">
                  <c:v>9.7389982502581092E-6</c:v>
                </c:pt>
                <c:pt idx="13">
                  <c:v>4.0972298304039836E-5</c:v>
                </c:pt>
                <c:pt idx="14">
                  <c:v>1.224006221423847E-4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17496"/>
        <c:axId val="240208176"/>
      </c:barChart>
      <c:catAx>
        <c:axId val="39311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208176"/>
        <c:crosses val="autoZero"/>
        <c:auto val="1"/>
        <c:lblAlgn val="ctr"/>
        <c:lblOffset val="100"/>
        <c:noMultiLvlLbl val="0"/>
      </c:catAx>
      <c:valAx>
        <c:axId val="240208176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3117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%'!$A$24</c:f>
          <c:strCache>
            <c:ptCount val="1"/>
            <c:pt idx="0">
              <c:v>Résidu nettoyage / Gain+résidu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%'!$B$22:$P$22</c:f>
              <c:strCache>
                <c:ptCount val="15"/>
                <c:pt idx="0">
                  <c:v>Aureville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Escalquens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%'!$B$24:$P$24</c:f>
              <c:numCache>
                <c:formatCode>0.0%</c:formatCode>
                <c:ptCount val="15"/>
                <c:pt idx="0">
                  <c:v>0.15542953660295325</c:v>
                </c:pt>
                <c:pt idx="1">
                  <c:v>9.4155129900348397E-2</c:v>
                </c:pt>
                <c:pt idx="2">
                  <c:v>0.11645596139314875</c:v>
                </c:pt>
                <c:pt idx="3">
                  <c:v>8.8114076948907397E-2</c:v>
                </c:pt>
                <c:pt idx="4">
                  <c:v>0.15878130361448292</c:v>
                </c:pt>
                <c:pt idx="5">
                  <c:v>0.15891796957988913</c:v>
                </c:pt>
                <c:pt idx="6">
                  <c:v>0.19608262107780072</c:v>
                </c:pt>
                <c:pt idx="7">
                  <c:v>9.3842849669655212E-2</c:v>
                </c:pt>
                <c:pt idx="8">
                  <c:v>0.11715628530917113</c:v>
                </c:pt>
                <c:pt idx="9">
                  <c:v>7.7175300428955651E-2</c:v>
                </c:pt>
                <c:pt idx="10">
                  <c:v>0.13947400208665192</c:v>
                </c:pt>
                <c:pt idx="11">
                  <c:v>8.236658827826919E-2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797104"/>
        <c:axId val="408797496"/>
      </c:barChart>
      <c:catAx>
        <c:axId val="40879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797496"/>
        <c:crosses val="autoZero"/>
        <c:auto val="1"/>
        <c:lblAlgn val="ctr"/>
        <c:lblOffset val="100"/>
        <c:noMultiLvlLbl val="0"/>
      </c:catAx>
      <c:valAx>
        <c:axId val="408797496"/>
        <c:scaling>
          <c:orientation val="minMax"/>
          <c:max val="0.1800000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79710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kWh'!$A$5</c:f>
          <c:strCache>
            <c:ptCount val="1"/>
            <c:pt idx="0">
              <c:v>Perte salissure 2022 (kWh/kWc)</c:v>
            </c:pt>
          </c:strCache>
        </c:strRef>
      </c:tx>
      <c:layout>
        <c:manualLayout>
          <c:xMode val="edge"/>
          <c:yMode val="edge"/>
          <c:x val="0.2250905092592592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91712962962963E-2"/>
          <c:y val="8.8379629629629614E-2"/>
          <c:w val="0.92061574074074071"/>
          <c:h val="0.597608267716535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kWh'!$B$5:$P$5</c:f>
              <c:numCache>
                <c:formatCode>0</c:formatCode>
                <c:ptCount val="15"/>
                <c:pt idx="0">
                  <c:v>100.25001520718608</c:v>
                </c:pt>
                <c:pt idx="1">
                  <c:v>89.39130046998595</c:v>
                </c:pt>
                <c:pt idx="2">
                  <c:v>51.616634051048003</c:v>
                </c:pt>
                <c:pt idx="3">
                  <c:v>50.379620236772801</c:v>
                </c:pt>
                <c:pt idx="4">
                  <c:v>113.44635133539776</c:v>
                </c:pt>
                <c:pt idx="5">
                  <c:v>109.26184838173023</c:v>
                </c:pt>
                <c:pt idx="6">
                  <c:v>148.05710305242854</c:v>
                </c:pt>
                <c:pt idx="7">
                  <c:v>41.149476309415725</c:v>
                </c:pt>
                <c:pt idx="8">
                  <c:v>46.71356828504733</c:v>
                </c:pt>
                <c:pt idx="9">
                  <c:v>57.354512913414538</c:v>
                </c:pt>
                <c:pt idx="10">
                  <c:v>32.769693966257343</c:v>
                </c:pt>
                <c:pt idx="11">
                  <c:v>26.500173750683583</c:v>
                </c:pt>
                <c:pt idx="12">
                  <c:v>57.756064792336801</c:v>
                </c:pt>
                <c:pt idx="13">
                  <c:v>27.308762743275217</c:v>
                </c:pt>
                <c:pt idx="14">
                  <c:v>19.037252152479518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798280"/>
        <c:axId val="408798672"/>
      </c:barChart>
      <c:catAx>
        <c:axId val="408798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798672"/>
        <c:crosses val="autoZero"/>
        <c:auto val="1"/>
        <c:lblAlgn val="ctr"/>
        <c:lblOffset val="100"/>
        <c:noMultiLvlLbl val="0"/>
      </c:catAx>
      <c:valAx>
        <c:axId val="408798672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798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kWh'!$A$6</c:f>
          <c:strCache>
            <c:ptCount val="1"/>
            <c:pt idx="0">
              <c:v>Gain instantanné nettoyage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4558180227471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kWh'!$B$6:$P$6</c:f>
              <c:numCache>
                <c:formatCode>0.0%</c:formatCode>
                <c:ptCount val="15"/>
                <c:pt idx="0">
                  <c:v>9.2374320811537389E-2</c:v>
                </c:pt>
                <c:pt idx="1">
                  <c:v>7.6966161784992645E-2</c:v>
                </c:pt>
                <c:pt idx="2">
                  <c:v>4.1728153322544911E-2</c:v>
                </c:pt>
                <c:pt idx="3">
                  <c:v>5.1744622120926613E-2</c:v>
                </c:pt>
                <c:pt idx="4">
                  <c:v>9.5363472841258151E-2</c:v>
                </c:pt>
                <c:pt idx="5">
                  <c:v>9.5265982743073477E-2</c:v>
                </c:pt>
                <c:pt idx="6">
                  <c:v>0.10249727570237151</c:v>
                </c:pt>
                <c:pt idx="7">
                  <c:v>7.724890312007289E-2</c:v>
                </c:pt>
                <c:pt idx="8">
                  <c:v>7.5356069233591422E-2</c:v>
                </c:pt>
                <c:pt idx="9">
                  <c:v>0.1076176218294741</c:v>
                </c:pt>
                <c:pt idx="10">
                  <c:v>3.7018769879940357E-2</c:v>
                </c:pt>
                <c:pt idx="11">
                  <c:v>4.4563380900108515E-2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799456"/>
        <c:axId val="408799848"/>
      </c:barChart>
      <c:catAx>
        <c:axId val="40879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799848"/>
        <c:crosses val="autoZero"/>
        <c:auto val="1"/>
        <c:lblAlgn val="ctr"/>
        <c:lblOffset val="100"/>
        <c:noMultiLvlLbl val="0"/>
      </c:catAx>
      <c:valAx>
        <c:axId val="408799848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79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'Recap kWh'!$A$4</c:f>
          <c:strCache>
            <c:ptCount val="1"/>
            <c:pt idx="0">
              <c:v>Masquage végé. 2022 (kWh/kWc)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115277777777778"/>
          <c:w val="0.89019685039370078"/>
          <c:h val="0.55616032370953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'Recap kWh'!$B$3:$P$3</c:f>
              <c:strCache>
                <c:ptCount val="15"/>
                <c:pt idx="0">
                  <c:v>Donneville</c:v>
                </c:pt>
                <c:pt idx="1">
                  <c:v>Aureville</c:v>
                </c:pt>
                <c:pt idx="2">
                  <c:v>M.J.C. Ayguesviv.</c:v>
                </c:pt>
                <c:pt idx="3">
                  <c:v>Garderie Labège</c:v>
                </c:pt>
                <c:pt idx="4">
                  <c:v>Maternelle Labège</c:v>
                </c:pt>
                <c:pt idx="5">
                  <c:v>Crèche Escalquens</c:v>
                </c:pt>
                <c:pt idx="6">
                  <c:v>Crèche Ayguesviv.</c:v>
                </c:pt>
                <c:pt idx="7">
                  <c:v>S.d.F. Noueilles</c:v>
                </c:pt>
                <c:pt idx="8">
                  <c:v>M. d. S.  Escalquens</c:v>
                </c:pt>
                <c:pt idx="9">
                  <c:v>Espace Berjean Escalq</c:v>
                </c:pt>
                <c:pt idx="10">
                  <c:v>Ecole Odars</c:v>
                </c:pt>
                <c:pt idx="11">
                  <c:v>Gymnase Ayguesviv.</c:v>
                </c:pt>
                <c:pt idx="12">
                  <c:v>Ecole Montbrun L</c:v>
                </c:pt>
                <c:pt idx="13">
                  <c:v>Espanes Hangar Goussaud</c:v>
                </c:pt>
                <c:pt idx="14">
                  <c:v>Montgiscard
S.D.I.S.</c:v>
                </c:pt>
              </c:strCache>
            </c:strRef>
          </c:cat>
          <c:val>
            <c:numRef>
              <c:f>'Recap kWh'!$B$4:$P$4</c:f>
              <c:numCache>
                <c:formatCode>0.0</c:formatCode>
                <c:ptCount val="15"/>
                <c:pt idx="0">
                  <c:v>5.7827167950883522</c:v>
                </c:pt>
                <c:pt idx="1">
                  <c:v>2.2491440178021795</c:v>
                </c:pt>
                <c:pt idx="2">
                  <c:v>0.35190370507826274</c:v>
                </c:pt>
                <c:pt idx="3">
                  <c:v>0.11174647025354349</c:v>
                </c:pt>
                <c:pt idx="4">
                  <c:v>2.0923561790698177</c:v>
                </c:pt>
                <c:pt idx="5">
                  <c:v>0.63890149177929156</c:v>
                </c:pt>
                <c:pt idx="6">
                  <c:v>10.102207471653864</c:v>
                </c:pt>
                <c:pt idx="7">
                  <c:v>4.2656111364222724</c:v>
                </c:pt>
                <c:pt idx="8">
                  <c:v>0.78803702287858701</c:v>
                </c:pt>
                <c:pt idx="9">
                  <c:v>4.061539667069345E-2</c:v>
                </c:pt>
                <c:pt idx="10">
                  <c:v>1.9538642451739523E-2</c:v>
                </c:pt>
                <c:pt idx="11">
                  <c:v>0.16773844333462143</c:v>
                </c:pt>
                <c:pt idx="12">
                  <c:v>1.4052753730939343E-2</c:v>
                </c:pt>
                <c:pt idx="13">
                  <c:v>5.5067968554324352E-2</c:v>
                </c:pt>
                <c:pt idx="14">
                  <c:v>0.15835843313044612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800632"/>
        <c:axId val="408801024"/>
      </c:barChart>
      <c:catAx>
        <c:axId val="40880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801024"/>
        <c:crosses val="autoZero"/>
        <c:auto val="1"/>
        <c:lblAlgn val="ctr"/>
        <c:lblOffset val="100"/>
        <c:noMultiLvlLbl val="0"/>
      </c:catAx>
      <c:valAx>
        <c:axId val="408801024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880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19050</xdr:rowOff>
    </xdr:from>
    <xdr:to>
      <xdr:col>12</xdr:col>
      <xdr:colOff>490950</xdr:colOff>
      <xdr:row>20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</xdr:colOff>
      <xdr:row>6</xdr:row>
      <xdr:rowOff>19050</xdr:rowOff>
    </xdr:from>
    <xdr:to>
      <xdr:col>20</xdr:col>
      <xdr:colOff>14700</xdr:colOff>
      <xdr:row>20</xdr:row>
      <xdr:rowOff>95250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9525</xdr:rowOff>
    </xdr:from>
    <xdr:to>
      <xdr:col>4</xdr:col>
      <xdr:colOff>595725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24</xdr:row>
      <xdr:rowOff>28575</xdr:rowOff>
    </xdr:from>
    <xdr:to>
      <xdr:col>12</xdr:col>
      <xdr:colOff>500475</xdr:colOff>
      <xdr:row>38</xdr:row>
      <xdr:rowOff>104775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19050</xdr:rowOff>
    </xdr:from>
    <xdr:to>
      <xdr:col>12</xdr:col>
      <xdr:colOff>500475</xdr:colOff>
      <xdr:row>20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6</xdr:row>
      <xdr:rowOff>0</xdr:rowOff>
    </xdr:from>
    <xdr:to>
      <xdr:col>22</xdr:col>
      <xdr:colOff>510000</xdr:colOff>
      <xdr:row>20</xdr:row>
      <xdr:rowOff>76200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</xdr:row>
      <xdr:rowOff>9525</xdr:rowOff>
    </xdr:from>
    <xdr:to>
      <xdr:col>4</xdr:col>
      <xdr:colOff>595725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Donneville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.%20Berjean%20v4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Odars%20Ecole%20v4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Gymn%20v4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Montbrun%20Ecole%20v4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pan&#232;s%20Hangar%20v4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Montgiscard%20SDIS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ureville%20v4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MJC%20v4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Lab&#232;ge%20garderie%20v4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Lab&#232;ge%20maternelle%20v4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uens%20cr&#234;che%20v4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Ayguesvives%20cr&#234;che%20v4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Noueilles%20SdF%20v4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ICEA%20Prod%20Escalquens%20MdS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43209</v>
          </cell>
        </row>
        <row r="5">
          <cell r="C5">
            <v>43249</v>
          </cell>
        </row>
        <row r="11">
          <cell r="C11">
            <v>104.45963514175737</v>
          </cell>
          <cell r="D11">
            <v>5.6326408194618862</v>
          </cell>
          <cell r="O11">
            <v>0</v>
          </cell>
        </row>
        <row r="12">
          <cell r="C12">
            <v>507.07282394770164</v>
          </cell>
          <cell r="D12">
            <v>12.090446238296549</v>
          </cell>
          <cell r="L12" t="str">
            <v/>
          </cell>
          <cell r="O12">
            <v>0</v>
          </cell>
        </row>
        <row r="13">
          <cell r="C13">
            <v>741.96867869641869</v>
          </cell>
          <cell r="D13">
            <v>21.143298543434643</v>
          </cell>
        </row>
        <row r="14">
          <cell r="C14">
            <v>398.89595030755072</v>
          </cell>
          <cell r="D14">
            <v>25.362680897145037</v>
          </cell>
          <cell r="H14">
            <v>462.97974451982009</v>
          </cell>
          <cell r="I14">
            <v>-1.6599989140942988</v>
          </cell>
          <cell r="K14">
            <v>44306</v>
          </cell>
        </row>
        <row r="15">
          <cell r="C15">
            <v>601.50009124311646</v>
          </cell>
          <cell r="D15">
            <v>34.696300770530115</v>
          </cell>
          <cell r="H15">
            <v>403.54404421488664</v>
          </cell>
          <cell r="I15">
            <v>-1.9937197098665465</v>
          </cell>
          <cell r="K15" t="str">
            <v/>
          </cell>
        </row>
        <row r="16">
          <cell r="C16">
            <v>387.50196792127633</v>
          </cell>
          <cell r="D16">
            <v>42.376819722787864</v>
          </cell>
          <cell r="H16">
            <v>507.11111997141495</v>
          </cell>
          <cell r="I16">
            <v>-2.971951546018694</v>
          </cell>
        </row>
        <row r="17">
          <cell r="C17">
            <v>582.37149888789418</v>
          </cell>
          <cell r="D17">
            <v>50.316078315463223</v>
          </cell>
          <cell r="H17">
            <v>370.77247706445007</v>
          </cell>
          <cell r="I17">
            <v>-2.6785261363668553</v>
          </cell>
        </row>
        <row r="18">
          <cell r="C18">
            <v>380.40830207803373</v>
          </cell>
          <cell r="D18">
            <v>31.336953171703659</v>
          </cell>
          <cell r="H18">
            <v>489.23377474770024</v>
          </cell>
          <cell r="I18">
            <v>27.498618314452127</v>
          </cell>
        </row>
        <row r="19">
          <cell r="C19">
            <v>576.89975899913179</v>
          </cell>
          <cell r="D19">
            <v>14.219262379091784</v>
          </cell>
          <cell r="H19">
            <v>356.89160686085813</v>
          </cell>
          <cell r="I19">
            <v>55.144946893899245</v>
          </cell>
        </row>
        <row r="20">
          <cell r="C20">
            <v>375.82559519174293</v>
          </cell>
          <cell r="D20">
            <v>24.970954688778651</v>
          </cell>
          <cell r="H20">
            <v>476.20908216684353</v>
          </cell>
          <cell r="I20">
            <v>56.583843955076063</v>
          </cell>
        </row>
        <row r="32">
          <cell r="M32">
            <v>2</v>
          </cell>
          <cell r="N32">
            <v>406.14784397678886</v>
          </cell>
          <cell r="O32">
            <v>5.9807321905491116E-2</v>
          </cell>
        </row>
        <row r="35">
          <cell r="E35">
            <v>2.7445102515151168E-3</v>
          </cell>
          <cell r="F35">
            <v>2.3139818916091848E-2</v>
          </cell>
          <cell r="G35">
            <v>1.2194431717577506E-3</v>
          </cell>
        </row>
        <row r="36">
          <cell r="E36">
            <v>9.4350942996907078E-3</v>
          </cell>
          <cell r="F36">
            <v>6.7281657117784069E-2</v>
          </cell>
          <cell r="G36">
            <v>1.5022125683998605E-3</v>
          </cell>
        </row>
        <row r="37">
          <cell r="E37">
            <v>1.7561014078621512E-2</v>
          </cell>
          <cell r="F37">
            <v>0.10342521867152105</v>
          </cell>
          <cell r="G37">
            <v>2.6665912239027963E-3</v>
          </cell>
        </row>
        <row r="38">
          <cell r="E38">
            <v>2.5834302827776726E-2</v>
          </cell>
          <cell r="F38">
            <v>5.5010862046536435E-2</v>
          </cell>
          <cell r="G38">
            <v>3.3108722293765328E-3</v>
          </cell>
          <cell r="L38">
            <v>9.2374320811537389E-2</v>
          </cell>
        </row>
        <row r="39">
          <cell r="C39">
            <v>9.3172112867404011E-2</v>
          </cell>
          <cell r="E39">
            <v>3.3516462519325232E-2</v>
          </cell>
          <cell r="F39">
            <v>8.2066513585501252E-2</v>
          </cell>
          <cell r="G39">
            <v>4.3637206482691517E-3</v>
          </cell>
        </row>
        <row r="40">
          <cell r="E40">
            <v>4.238965023913327E-2</v>
          </cell>
          <cell r="F40">
            <v>5.1425629705174454E-2</v>
          </cell>
          <cell r="G40">
            <v>5.3377228414526945E-3</v>
          </cell>
          <cell r="K40">
            <v>45046</v>
          </cell>
        </row>
        <row r="41">
          <cell r="E41">
            <v>5.0706724751364035E-2</v>
          </cell>
          <cell r="F41">
            <v>7.9564127494990422E-2</v>
          </cell>
          <cell r="G41">
            <v>6.3438887120093167E-3</v>
          </cell>
        </row>
        <row r="42">
          <cell r="E42">
            <v>5.92326282268704E-2</v>
          </cell>
          <cell r="F42">
            <v>5.0341193677553138E-2</v>
          </cell>
          <cell r="G42">
            <v>3.9370298683482959E-3</v>
          </cell>
        </row>
        <row r="43">
          <cell r="E43">
            <v>6.7662786369210942E-2</v>
          </cell>
          <cell r="F43">
            <v>7.8277586803458046E-2</v>
          </cell>
          <cell r="G43">
            <v>1.7805555878053303E-3</v>
          </cell>
        </row>
        <row r="44">
          <cell r="E44">
            <v>7.6284794772424974E-2</v>
          </cell>
          <cell r="F44">
            <v>4.969310359291923E-2</v>
          </cell>
          <cell r="G44">
            <v>3.1341299404630866E-3</v>
          </cell>
        </row>
        <row r="65">
          <cell r="K65">
            <v>3.7291589856623895</v>
          </cell>
          <cell r="L65">
            <v>2.315724518475883</v>
          </cell>
          <cell r="M65">
            <v>1.7336989716275146</v>
          </cell>
        </row>
        <row r="66">
          <cell r="B66">
            <v>2.2760567860776364</v>
          </cell>
          <cell r="C66">
            <v>3.4593848955928208</v>
          </cell>
          <cell r="D66">
            <v>4.8217993121341438</v>
          </cell>
          <cell r="E66">
            <v>5.8125940260862698</v>
          </cell>
          <cell r="F66">
            <v>6.78331037377803</v>
          </cell>
          <cell r="G66">
            <v>6.7264736466441155</v>
          </cell>
          <cell r="H66">
            <v>6.434889601860128</v>
          </cell>
          <cell r="I66">
            <v>5.9384240204668055</v>
          </cell>
          <cell r="J66">
            <v>5.1562240790519898</v>
          </cell>
        </row>
      </sheetData>
      <sheetData sheetId="1">
        <row r="10">
          <cell r="U10">
            <v>154.68</v>
          </cell>
        </row>
        <row r="11">
          <cell r="D11">
            <v>0.90000000000000013</v>
          </cell>
          <cell r="O11">
            <v>154.57</v>
          </cell>
        </row>
        <row r="12">
          <cell r="L12">
            <v>0</v>
          </cell>
        </row>
      </sheetData>
      <sheetData sheetId="2">
        <row r="12">
          <cell r="L12">
            <v>43079</v>
          </cell>
          <cell r="O12">
            <v>43122</v>
          </cell>
        </row>
      </sheetData>
      <sheetData sheetId="3">
        <row r="1">
          <cell r="Q1">
            <v>8.0000000000000002E-3</v>
          </cell>
        </row>
        <row r="5">
          <cell r="U5">
            <v>1.7000000000000001E-2</v>
          </cell>
        </row>
        <row r="10">
          <cell r="U10">
            <v>1.7000000000000001E-2</v>
          </cell>
        </row>
        <row r="11">
          <cell r="D11">
            <v>-1.498875338297653</v>
          </cell>
          <cell r="O11">
            <v>0.7</v>
          </cell>
        </row>
      </sheetData>
      <sheetData sheetId="4">
        <row r="10">
          <cell r="U10">
            <v>0.5</v>
          </cell>
        </row>
        <row r="11">
          <cell r="D11">
            <v>12.355579314052193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5">
        <row r="10">
          <cell r="U10">
            <v>0.39887541583559449</v>
          </cell>
        </row>
        <row r="11">
          <cell r="D11">
            <v>70.443593428278291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6">
        <row r="10">
          <cell r="U10">
            <v>0.30000006185595751</v>
          </cell>
        </row>
        <row r="11">
          <cell r="D11">
            <v>123.80787121146386</v>
          </cell>
          <cell r="O11">
            <v>0.14000000000000001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7">
        <row r="10">
          <cell r="U10">
            <v>0.30000006185595751</v>
          </cell>
        </row>
        <row r="11">
          <cell r="D11">
            <v>182.61258547714806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8">
        <row r="10">
          <cell r="U10">
            <v>0.30000006185595751</v>
          </cell>
        </row>
        <row r="11">
          <cell r="D11">
            <v>237.68976977509919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9">
        <row r="10">
          <cell r="U10">
            <v>0.30000006185595751</v>
          </cell>
        </row>
        <row r="11">
          <cell r="D11">
            <v>306.42488839603266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133">
          <cell r="O133">
            <v>0.10274501027396959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353.23754323080266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422.56753725831368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2">
        <row r="10">
          <cell r="U10">
            <v>0.5</v>
          </cell>
        </row>
        <row r="11">
          <cell r="D11">
            <v>467.06648143187431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  <sheetData sheetId="13">
        <row r="10">
          <cell r="U10">
            <v>0.5</v>
          </cell>
        </row>
        <row r="11">
          <cell r="D11">
            <v>536.04470414599473</v>
          </cell>
          <cell r="O11">
            <v>0.15</v>
          </cell>
        </row>
        <row r="12">
          <cell r="L12">
            <v>0</v>
          </cell>
          <cell r="O12">
            <v>730</v>
          </cell>
        </row>
        <row r="379">
          <cell r="Q379">
            <v>0.7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Escalq. Berjean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43496</v>
          </cell>
        </row>
        <row r="5">
          <cell r="C5">
            <v>43535</v>
          </cell>
        </row>
        <row r="11">
          <cell r="C11">
            <v>180.06133510994408</v>
          </cell>
          <cell r="D11">
            <v>3.4087965084989458E-2</v>
          </cell>
        </row>
        <row r="12">
          <cell r="C12">
            <v>512.71335922203446</v>
          </cell>
          <cell r="D12">
            <v>9.5251793757527042E-2</v>
          </cell>
        </row>
        <row r="13">
          <cell r="C13">
            <v>947.64458872461057</v>
          </cell>
          <cell r="D13">
            <v>0.23705846887630638</v>
          </cell>
          <cell r="K13" t="str">
            <v/>
          </cell>
        </row>
        <row r="14">
          <cell r="C14">
            <v>516.19061622073082</v>
          </cell>
          <cell r="D14">
            <v>0.36553857003624107</v>
          </cell>
          <cell r="H14">
            <v>894.20117184713649</v>
          </cell>
          <cell r="I14">
            <v>-2.816996816921663E-2</v>
          </cell>
          <cell r="K14">
            <v>44683</v>
          </cell>
        </row>
        <row r="15">
          <cell r="C15">
            <v>524.39575902871081</v>
          </cell>
          <cell r="D15">
            <v>0.52883767263656112</v>
          </cell>
          <cell r="H15">
            <v>896.74846364805205</v>
          </cell>
          <cell r="I15">
            <v>-4.1233444067140412E-2</v>
          </cell>
        </row>
        <row r="16">
          <cell r="C16">
            <v>368.38344697010638</v>
          </cell>
          <cell r="D16">
            <v>0.74589472411488977</v>
          </cell>
          <cell r="H16">
            <v>640.97848400896578</v>
          </cell>
          <cell r="I16">
            <v>-4.1249999192584097E-2</v>
          </cell>
        </row>
        <row r="17">
          <cell r="C17">
            <v>581.09054169182377</v>
          </cell>
          <cell r="D17">
            <v>0.94138425228202316</v>
          </cell>
          <cell r="H17">
            <v>455.70600963472543</v>
          </cell>
          <cell r="I17">
            <v>-3.8043180374718655E-2</v>
          </cell>
        </row>
        <row r="18">
          <cell r="C18">
            <v>373.96621391324351</v>
          </cell>
          <cell r="D18">
            <v>0.45248326197172378</v>
          </cell>
          <cell r="H18">
            <v>576.97168351527421</v>
          </cell>
          <cell r="I18">
            <v>0.72006980076916571</v>
          </cell>
        </row>
        <row r="19">
          <cell r="C19">
            <v>573.09064010814666</v>
          </cell>
          <cell r="D19">
            <v>0.11392886387391919</v>
          </cell>
          <cell r="H19">
            <v>481.21788418437029</v>
          </cell>
          <cell r="I19">
            <v>1.3449556600976971</v>
          </cell>
        </row>
        <row r="20">
          <cell r="H20">
            <v>575.7302020735483</v>
          </cell>
        </row>
        <row r="32">
          <cell r="M32">
            <v>2</v>
          </cell>
          <cell r="N32">
            <v>520.26601506979546</v>
          </cell>
          <cell r="O32">
            <v>4.7222465831656436E-2</v>
          </cell>
        </row>
        <row r="35">
          <cell r="E35">
            <v>3.1495627912824331E-3</v>
          </cell>
          <cell r="F35">
            <v>1.7322603295289271E-2</v>
          </cell>
          <cell r="G35">
            <v>3.2233820691782102E-6</v>
          </cell>
        </row>
        <row r="36">
          <cell r="E36">
            <v>9.8014696424478989E-3</v>
          </cell>
          <cell r="F36">
            <v>4.4142983731602067E-2</v>
          </cell>
          <cell r="G36">
            <v>7.8509157431903034E-6</v>
          </cell>
        </row>
        <row r="37">
          <cell r="E37">
            <v>1.6935773159675226E-2</v>
          </cell>
          <cell r="F37">
            <v>8.6648927570793649E-2</v>
          </cell>
          <cell r="G37">
            <v>1.9920389519697197E-5</v>
          </cell>
        </row>
        <row r="38">
          <cell r="C38">
            <v>2.7127379112340089E-2</v>
          </cell>
          <cell r="E38">
            <v>2.4185866259582075E-2</v>
          </cell>
          <cell r="F38">
            <v>4.3468339145651673E-2</v>
          </cell>
          <cell r="G38">
            <v>2.9469959024322126E-5</v>
          </cell>
          <cell r="L38">
            <v>0.1076176218294741</v>
          </cell>
        </row>
        <row r="39">
          <cell r="E39">
            <v>3.1309351963344639E-2</v>
          </cell>
          <cell r="F39">
            <v>4.4205575929586169E-2</v>
          </cell>
          <cell r="G39">
            <v>4.2636250276921024E-5</v>
          </cell>
        </row>
        <row r="40">
          <cell r="E40">
            <v>3.8586371892104496E-2</v>
          </cell>
          <cell r="F40">
            <v>3.0598409717992044E-2</v>
          </cell>
          <cell r="G40">
            <v>6.0046757527139704E-5</v>
          </cell>
        </row>
        <row r="41">
          <cell r="E41">
            <v>4.5859779822259306E-2</v>
          </cell>
          <cell r="F41">
            <v>4.9265981802900267E-2</v>
          </cell>
          <cell r="G41">
            <v>7.5901530726097527E-5</v>
          </cell>
        </row>
        <row r="42">
          <cell r="E42">
            <v>5.3235849666107719E-2</v>
          </cell>
          <cell r="F42">
            <v>3.1138324862281009E-2</v>
          </cell>
          <cell r="G42">
            <v>3.6479665644387118E-5</v>
          </cell>
        </row>
        <row r="43">
          <cell r="E43">
            <v>6.0594768249547015E-2</v>
          </cell>
          <cell r="F43">
            <v>4.8581859903576961E-2</v>
          </cell>
          <cell r="G43">
            <v>9.1846943967880396E-6</v>
          </cell>
        </row>
        <row r="64">
          <cell r="K64">
            <v>4.5369654163612063</v>
          </cell>
          <cell r="L64">
            <v>3.495067341341811</v>
          </cell>
          <cell r="M64">
            <v>2.9581037863221691</v>
          </cell>
        </row>
        <row r="65">
          <cell r="B65">
            <v>3.3806249353112818</v>
          </cell>
          <cell r="C65">
            <v>4.4355950297936095</v>
          </cell>
          <cell r="D65">
            <v>5.5135609157098031</v>
          </cell>
          <cell r="E65">
            <v>6.2918923757420693</v>
          </cell>
          <cell r="F65">
            <v>6.5188933284789528</v>
          </cell>
          <cell r="G65">
            <v>6.4395127807108317</v>
          </cell>
          <cell r="H65">
            <v>6.170984845383539</v>
          </cell>
          <cell r="I65">
            <v>5.782029024070038</v>
          </cell>
          <cell r="J65">
            <v>5.2447019065578555</v>
          </cell>
        </row>
      </sheetData>
      <sheetData sheetId="1"/>
      <sheetData sheetId="2"/>
      <sheetData sheetId="3">
        <row r="1">
          <cell r="Q1">
            <v>7.0000000000000001E-3</v>
          </cell>
        </row>
        <row r="5">
          <cell r="U5">
            <v>8.9999999999999993E-3</v>
          </cell>
        </row>
      </sheetData>
      <sheetData sheetId="4">
        <row r="10">
          <cell r="U10">
            <v>0.5</v>
          </cell>
        </row>
        <row r="11">
          <cell r="D11">
            <v>32.63562161381742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5">
        <row r="10">
          <cell r="U10">
            <v>0.5</v>
          </cell>
        </row>
        <row r="11">
          <cell r="D11">
            <v>112.73743496705174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6">
        <row r="10">
          <cell r="U10">
            <v>0.5</v>
          </cell>
        </row>
        <row r="11">
          <cell r="D11">
            <v>182.13516275789334</v>
          </cell>
          <cell r="O11">
            <v>0.15</v>
          </cell>
        </row>
        <row r="12">
          <cell r="L12">
            <v>0</v>
          </cell>
          <cell r="O12">
            <v>438</v>
          </cell>
        </row>
        <row r="379">
          <cell r="Q379">
            <v>0.6</v>
          </cell>
        </row>
      </sheetData>
      <sheetData sheetId="7">
        <row r="10">
          <cell r="U10">
            <v>0.5</v>
          </cell>
        </row>
        <row r="11">
          <cell r="D11">
            <v>280.42706538638959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8">
        <row r="10">
          <cell r="U10">
            <v>0.5</v>
          </cell>
        </row>
        <row r="11">
          <cell r="D11">
            <v>360.13658362470233</v>
          </cell>
          <cell r="O11">
            <v>0.13</v>
          </cell>
        </row>
        <row r="12">
          <cell r="L12">
            <v>0</v>
          </cell>
          <cell r="O12">
            <v>1095</v>
          </cell>
        </row>
        <row r="133">
          <cell r="O133">
            <v>3.8079386249886576E-2</v>
          </cell>
        </row>
        <row r="379">
          <cell r="Q379">
            <v>0.6</v>
          </cell>
        </row>
      </sheetData>
      <sheetData sheetId="9">
        <row r="10">
          <cell r="U10">
            <v>0.5</v>
          </cell>
        </row>
        <row r="11">
          <cell r="D11">
            <v>447.29349036398889</v>
          </cell>
          <cell r="O11">
            <v>0.13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0">
        <row r="10">
          <cell r="U10">
            <v>0.5</v>
          </cell>
        </row>
        <row r="11">
          <cell r="D11">
            <v>517.19601255131784</v>
          </cell>
          <cell r="O11">
            <v>0.13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1">
        <row r="10">
          <cell r="U10">
            <v>0.5</v>
          </cell>
        </row>
        <row r="11">
          <cell r="D11">
            <v>607.03772160264816</v>
          </cell>
          <cell r="O11">
            <v>0.13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2">
        <row r="10">
          <cell r="U10">
            <v>0.5</v>
          </cell>
        </row>
        <row r="11">
          <cell r="D11">
            <v>673.96109393410734</v>
          </cell>
          <cell r="O11">
            <v>0.13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3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Odars Ecole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43763</v>
          </cell>
        </row>
        <row r="5">
          <cell r="C5">
            <v>43851</v>
          </cell>
        </row>
        <row r="11">
          <cell r="C11">
            <v>735.93705271694512</v>
          </cell>
          <cell r="D11">
            <v>0.15389190729034352</v>
          </cell>
        </row>
        <row r="12">
          <cell r="C12">
            <v>1466.8051397519837</v>
          </cell>
          <cell r="D12">
            <v>0.34106164481600015</v>
          </cell>
          <cell r="K12" t="str">
            <v/>
          </cell>
        </row>
        <row r="13">
          <cell r="C13">
            <v>1174.4658317506633</v>
          </cell>
          <cell r="D13">
            <v>0.70026494547034457</v>
          </cell>
          <cell r="H13">
            <v>1261.2482118324028</v>
          </cell>
          <cell r="I13">
            <v>-1.8527461698983116E-2</v>
          </cell>
          <cell r="K13">
            <v>44683</v>
          </cell>
        </row>
        <row r="14">
          <cell r="C14">
            <v>2222.5776399522806</v>
          </cell>
          <cell r="D14">
            <v>1.0071906962370942</v>
          </cell>
          <cell r="H14">
            <v>1254.1422393226389</v>
          </cell>
          <cell r="I14">
            <v>-2.7076641198125251E-2</v>
          </cell>
        </row>
        <row r="15">
          <cell r="C15">
            <v>1281.4852331478157</v>
          </cell>
          <cell r="D15">
            <v>1.4499795897045988</v>
          </cell>
          <cell r="H15">
            <v>2114.6095260369684</v>
          </cell>
          <cell r="I15">
            <v>-6.4676785434874429E-2</v>
          </cell>
        </row>
        <row r="16">
          <cell r="C16">
            <v>1951.022536257514</v>
          </cell>
          <cell r="D16">
            <v>1.8839625940513265</v>
          </cell>
          <cell r="H16">
            <v>1839.0053949764663</v>
          </cell>
          <cell r="I16">
            <v>-7.4690257178064101E-2</v>
          </cell>
        </row>
        <row r="17">
          <cell r="C17">
            <v>1210.6828169011928</v>
          </cell>
          <cell r="D17">
            <v>2.4639004377773635</v>
          </cell>
          <cell r="H17">
            <v>2081.3551596543139</v>
          </cell>
          <cell r="I17">
            <v>-0.10941387260391577</v>
          </cell>
        </row>
        <row r="18">
          <cell r="C18">
            <v>1929.7772345224187</v>
          </cell>
          <cell r="D18">
            <v>0.69796728793223861</v>
          </cell>
          <cell r="H18">
            <v>1691.7453120909624</v>
          </cell>
          <cell r="I18">
            <v>2.1979649996958637</v>
          </cell>
        </row>
        <row r="19">
          <cell r="H19">
            <v>2035.1063344258466</v>
          </cell>
        </row>
        <row r="20">
          <cell r="H20">
            <v>1674.7336598121517</v>
          </cell>
        </row>
        <row r="32">
          <cell r="M32">
            <v>2</v>
          </cell>
          <cell r="N32">
            <v>1874.8213214735852</v>
          </cell>
          <cell r="O32">
            <v>4.0413989492903549E-2</v>
          </cell>
        </row>
        <row r="35">
          <cell r="E35">
            <v>3.7533439879971929E-3</v>
          </cell>
          <cell r="F35">
            <v>1.5759589698497976E-2</v>
          </cell>
          <cell r="G35">
            <v>3.2441714541030566E-6</v>
          </cell>
        </row>
        <row r="36">
          <cell r="E36">
            <v>9.2410469144759769E-3</v>
          </cell>
          <cell r="F36">
            <v>3.3637201482409493E-2</v>
          </cell>
          <cell r="G36">
            <v>7.5645239029497592E-6</v>
          </cell>
        </row>
        <row r="37">
          <cell r="C37">
            <v>3.2688604690395577E-2</v>
          </cell>
          <cell r="E37">
            <v>1.4646977165567246E-2</v>
          </cell>
          <cell r="F37">
            <v>2.4124107549341148E-2</v>
          </cell>
          <cell r="G37">
            <v>1.4040121021726397E-5</v>
          </cell>
          <cell r="L37">
            <v>3.7018769879940357E-2</v>
          </cell>
        </row>
        <row r="38">
          <cell r="E38">
            <v>2.0411300928935828E-2</v>
          </cell>
          <cell r="F38">
            <v>4.6685415333386535E-2</v>
          </cell>
          <cell r="G38">
            <v>2.0194105168295374E-5</v>
          </cell>
        </row>
        <row r="39">
          <cell r="E39">
            <v>2.6062276598483217E-2</v>
          </cell>
          <cell r="F39">
            <v>2.6352010463640847E-2</v>
          </cell>
          <cell r="G39">
            <v>2.9031881645074357E-5</v>
          </cell>
        </row>
        <row r="40">
          <cell r="E40">
            <v>3.1705111411624201E-2</v>
          </cell>
          <cell r="F40">
            <v>4.0764164369185792E-2</v>
          </cell>
          <cell r="G40">
            <v>3.777436970596553E-5</v>
          </cell>
        </row>
        <row r="41">
          <cell r="E41">
            <v>3.7412984769450382E-2</v>
          </cell>
          <cell r="F41">
            <v>2.4902328634080022E-2</v>
          </cell>
          <cell r="G41">
            <v>4.9403264515921016E-5</v>
          </cell>
        </row>
        <row r="42">
          <cell r="E42">
            <v>4.3108725986719554E-2</v>
          </cell>
          <cell r="F42">
            <v>4.0318805607486734E-2</v>
          </cell>
          <cell r="G42">
            <v>1.3994072367339286E-5</v>
          </cell>
        </row>
        <row r="63">
          <cell r="K63">
            <v>4.3363843135672102</v>
          </cell>
          <cell r="L63">
            <v>3.3270063184613443</v>
          </cell>
          <cell r="M63">
            <v>2.7627363117523869</v>
          </cell>
        </row>
        <row r="64">
          <cell r="B64">
            <v>3.1309352348282227</v>
          </cell>
          <cell r="C64">
            <v>4.1537778720280594</v>
          </cell>
          <cell r="D64">
            <v>5.2899305777188701</v>
          </cell>
          <cell r="E64">
            <v>6.2231122052541172</v>
          </cell>
          <cell r="F64">
            <v>6.6885129440714195</v>
          </cell>
          <cell r="G64">
            <v>6.7625649348314214</v>
          </cell>
          <cell r="H64">
            <v>6.5441831834667834</v>
          </cell>
          <cell r="I64">
            <v>6.0573264904292694</v>
          </cell>
          <cell r="J64">
            <v>5.2547559456157957</v>
          </cell>
        </row>
      </sheetData>
      <sheetData sheetId="1"/>
      <sheetData sheetId="2"/>
      <sheetData sheetId="3">
        <row r="1">
          <cell r="Q1">
            <v>5.4999999999999997E-3</v>
          </cell>
        </row>
        <row r="5">
          <cell r="O5">
            <v>6.0000000000000001E-3</v>
          </cell>
        </row>
      </sheetData>
      <sheetData sheetId="4">
        <row r="10">
          <cell r="U10">
            <v>0.5</v>
          </cell>
        </row>
        <row r="11">
          <cell r="D11">
            <v>174.61724272811989</v>
          </cell>
          <cell r="O11">
            <v>7.4999999999999997E-2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399.28117612332426</v>
          </cell>
          <cell r="O11">
            <v>7.4999999999999997E-2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702.78449145479681</v>
          </cell>
          <cell r="O11">
            <v>0.14000000000000001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952.29420159237634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133">
          <cell r="O133">
            <v>4.1085867366912575E-2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1235.203405792352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1470.8129442317513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1753.3196334072636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1978.0402757304328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ICEA Prod Ayguesvives Gymn v41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43808</v>
          </cell>
        </row>
        <row r="5">
          <cell r="C5">
            <v>43854</v>
          </cell>
        </row>
        <row r="11">
          <cell r="C11">
            <v>527.34274757565163</v>
          </cell>
          <cell r="D11">
            <v>1.0861861353598061</v>
          </cell>
        </row>
        <row r="12">
          <cell r="C12">
            <v>1565.7682728162927</v>
          </cell>
          <cell r="D12">
            <v>3.4964358605436994</v>
          </cell>
          <cell r="K12" t="str">
            <v/>
          </cell>
        </row>
        <row r="13">
          <cell r="C13">
            <v>949.76622722449974</v>
          </cell>
          <cell r="D13">
            <v>6.0117458091128331</v>
          </cell>
          <cell r="H13">
            <v>1464.0358544705409</v>
          </cell>
          <cell r="I13">
            <v>-0.18745103934074514</v>
          </cell>
          <cell r="K13">
            <v>44683</v>
          </cell>
        </row>
        <row r="14">
          <cell r="C14">
            <v>1296.037651530314</v>
          </cell>
          <cell r="D14">
            <v>9.402003635634534</v>
          </cell>
          <cell r="H14">
            <v>1357.2005622672352</v>
          </cell>
          <cell r="I14">
            <v>-0.27600489500782288</v>
          </cell>
        </row>
        <row r="15">
          <cell r="C15">
            <v>799.3419191269976</v>
          </cell>
          <cell r="D15">
            <v>14.06975564295101</v>
          </cell>
          <cell r="H15">
            <v>1359.4273117097036</v>
          </cell>
          <cell r="I15">
            <v>-0.41064278813663435</v>
          </cell>
        </row>
        <row r="16">
          <cell r="C16">
            <v>1286.0218015527657</v>
          </cell>
          <cell r="D16">
            <v>19.178648567226304</v>
          </cell>
          <cell r="H16">
            <v>1020.1378176784474</v>
          </cell>
          <cell r="I16">
            <v>-0.42765881696942998</v>
          </cell>
        </row>
        <row r="17">
          <cell r="C17">
            <v>786.02005272177053</v>
          </cell>
          <cell r="D17">
            <v>25.936271343554342</v>
          </cell>
          <cell r="H17">
            <v>1285.7242862910146</v>
          </cell>
          <cell r="I17">
            <v>-0.72468929812687577</v>
          </cell>
        </row>
        <row r="18">
          <cell r="C18">
            <v>1272.4878812365062</v>
          </cell>
          <cell r="D18">
            <v>11.873898798965781</v>
          </cell>
          <cell r="H18">
            <v>1009.0289663000765</v>
          </cell>
          <cell r="I18">
            <v>20.307434597142752</v>
          </cell>
        </row>
        <row r="19">
          <cell r="H19">
            <v>1272.0658521607529</v>
          </cell>
        </row>
        <row r="20">
          <cell r="H20">
            <v>997.91472347780905</v>
          </cell>
        </row>
        <row r="32">
          <cell r="M32">
            <v>2</v>
          </cell>
          <cell r="N32">
            <v>1149.4476653143772</v>
          </cell>
          <cell r="O32">
            <v>2.5151837164038647E-2</v>
          </cell>
        </row>
        <row r="35">
          <cell r="E35">
            <v>3.5303497068894557E-3</v>
          </cell>
          <cell r="F35">
            <v>1.1334393836478921E-2</v>
          </cell>
          <cell r="G35">
            <v>2.3083285137382363E-5</v>
          </cell>
        </row>
        <row r="36">
          <cell r="E36">
            <v>8.7523252311577596E-3</v>
          </cell>
          <cell r="F36">
            <v>3.4448253049054745E-2</v>
          </cell>
          <cell r="G36">
            <v>7.4341265109159653E-5</v>
          </cell>
        </row>
        <row r="37">
          <cell r="C37">
            <v>1.8272528200616311E-2</v>
          </cell>
          <cell r="E37">
            <v>1.6095092179960354E-2</v>
          </cell>
          <cell r="F37">
            <v>1.9945515546071518E-2</v>
          </cell>
          <cell r="G37">
            <v>1.2374153780807874E-4</v>
          </cell>
          <cell r="L37">
            <v>4.4563380900108515E-2</v>
          </cell>
        </row>
        <row r="38">
          <cell r="E38">
            <v>2.1691284915900871E-2</v>
          </cell>
          <cell r="F38">
            <v>2.7452984461586064E-2</v>
          </cell>
          <cell r="G38">
            <v>1.9372192116550845E-4</v>
          </cell>
        </row>
        <row r="39">
          <cell r="E39">
            <v>2.7274816497490237E-2</v>
          </cell>
          <cell r="F39">
            <v>1.6731841623370693E-2</v>
          </cell>
          <cell r="G39">
            <v>2.8953188500604451E-4</v>
          </cell>
        </row>
        <row r="40">
          <cell r="E40">
            <v>3.2666454244360571E-2</v>
          </cell>
          <cell r="F40">
            <v>2.7250142139553769E-2</v>
          </cell>
          <cell r="G40">
            <v>3.952629032063815E-4</v>
          </cell>
        </row>
        <row r="41">
          <cell r="E41">
            <v>3.8680241865234777E-2</v>
          </cell>
          <cell r="F41">
            <v>1.6482240542134194E-2</v>
          </cell>
          <cell r="G41">
            <v>5.3470970193156991E-4</v>
          </cell>
        </row>
        <row r="42">
          <cell r="E42">
            <v>4.4099695561313629E-2</v>
          </cell>
          <cell r="F42">
            <v>2.6955041682958682E-2</v>
          </cell>
          <cell r="G42">
            <v>2.4463909178139688E-4</v>
          </cell>
        </row>
        <row r="63">
          <cell r="K63">
            <v>4.420053153744548</v>
          </cell>
          <cell r="L63">
            <v>3.4138405728880454</v>
          </cell>
          <cell r="M63">
            <v>2.8286008827399769</v>
          </cell>
        </row>
        <row r="64">
          <cell r="B64">
            <v>3.2184550067501996</v>
          </cell>
          <cell r="C64">
            <v>4.2147328970623921</v>
          </cell>
          <cell r="D64">
            <v>5.3988940491976205</v>
          </cell>
          <cell r="E64">
            <v>6.2961106147501864</v>
          </cell>
          <cell r="F64">
            <v>6.6807021558106401</v>
          </cell>
          <cell r="G64">
            <v>6.7920844291079412</v>
          </cell>
          <cell r="H64">
            <v>6.5886613993334713</v>
          </cell>
          <cell r="I64">
            <v>6.1242552493105729</v>
          </cell>
          <cell r="J64">
            <v>5.3609601659098098</v>
          </cell>
        </row>
      </sheetData>
      <sheetData sheetId="1"/>
      <sheetData sheetId="2"/>
      <sheetData sheetId="3">
        <row r="1">
          <cell r="Q1">
            <v>5.4999999999999997E-3</v>
          </cell>
        </row>
        <row r="5">
          <cell r="O5">
            <v>4.0000000000000001E-3</v>
          </cell>
        </row>
      </sheetData>
      <sheetData sheetId="4">
        <row r="10">
          <cell r="U10">
            <v>0.5</v>
          </cell>
        </row>
        <row r="11">
          <cell r="D11">
            <v>163.67482860564633</v>
          </cell>
          <cell r="O11">
            <v>6.5000000000000002E-2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394.36574493862281</v>
          </cell>
          <cell r="O11">
            <v>0.05</v>
          </cell>
        </row>
        <row r="12">
          <cell r="L12">
            <v>0</v>
          </cell>
          <cell r="O12">
            <v>146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754.27648881426285</v>
          </cell>
          <cell r="O11">
            <v>6.5000000000000002E-2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1002.2905698728791</v>
          </cell>
          <cell r="O11">
            <v>6.5000000000000002E-2</v>
          </cell>
        </row>
        <row r="12">
          <cell r="L12">
            <v>0</v>
          </cell>
          <cell r="O12">
            <v>912.5</v>
          </cell>
        </row>
        <row r="133">
          <cell r="O133">
            <v>2.4228963645563921E-2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1268.4227990654472</v>
          </cell>
          <cell r="O11">
            <v>6.5000000000000002E-2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1492.8682672518553</v>
          </cell>
          <cell r="O11">
            <v>6.5000000000000002E-2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1775.9252762148099</v>
          </cell>
          <cell r="O11">
            <v>6.5000000000000002E-2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1993.9178873784986</v>
          </cell>
          <cell r="O11">
            <v>6.5000000000000002E-2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2"/>
      <sheetData sheetId="13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</sheetNames>
    <definedNames>
      <definedName name="Df" refersTo="='2020'!$Q$379" sheetId="4"/>
      <definedName name="Df" refersTo="='2021'!$Q$379" sheetId="5"/>
      <definedName name="Df" refersTo="='2022'!$Q$379" sheetId="6"/>
      <definedName name="Df" refersTo="='2023'!$Q$379" sheetId="7"/>
      <definedName name="Df" refersTo="='2024'!$Q$379" sheetId="8"/>
      <definedName name="Df" refersTo="='2025'!$Q$379" sheetId="9"/>
      <definedName name="Df" refersTo="='2026'!$Q$379" sheetId="10"/>
      <definedName name="Df" refersTo="='2027'!$Q$379" sheetId="11"/>
      <definedName name="PertePVan" refersTo="='Réglage perte'!$Q$1"/>
      <definedName name="PousH" refersTo="='2020'!$U$10" sheetId="4"/>
      <definedName name="PousH" refersTo="='2021'!$U$10" sheetId="5"/>
      <definedName name="PousH" refersTo="='2022'!$U$10" sheetId="6"/>
      <definedName name="PousH" refersTo="='2023'!$U$10" sheetId="7"/>
      <definedName name="PousH" refersTo="='2024'!$U$10" sheetId="8"/>
      <definedName name="PousH" refersTo="='2025'!$U$10" sheetId="9"/>
      <definedName name="PousH" refersTo="='2026'!$U$10" sheetId="10"/>
      <definedName name="PousH" refersTo="='2027'!$U$10" sheetId="11"/>
      <definedName name="Pspv" refersTo="='2020'!$L$12" sheetId="4"/>
      <definedName name="Pspv" refersTo="='2021'!$L$12" sheetId="5"/>
      <definedName name="Pspv" refersTo="='2022'!$L$12" sheetId="6"/>
      <definedName name="Pspv" refersTo="='2023'!$L$12" sheetId="7"/>
      <definedName name="Pspv" refersTo="='2024'!$L$12" sheetId="8"/>
      <definedName name="Pspv" refersTo="='2025'!$L$12" sheetId="9"/>
      <definedName name="Pspv" refersTo="='2026'!$L$12" sheetId="10"/>
      <definedName name="Pspv" refersTo="='2027'!$L$12" sheetId="11"/>
      <definedName name="Salim" refersTo="='2020'!$O$11" sheetId="4"/>
      <definedName name="Salim" refersTo="='2021'!$O$11" sheetId="5"/>
      <definedName name="Salim" refersTo="='2022'!$O$11" sheetId="6"/>
      <definedName name="Salim" refersTo="='2023'!$O$11" sheetId="7"/>
      <definedName name="Salim" refersTo="='2024'!$O$11" sheetId="8"/>
      <definedName name="Salim" refersTo="='2025'!$O$11" sheetId="9"/>
      <definedName name="Salim" refersTo="='2026'!$O$11" sheetId="10"/>
      <definedName name="Salim" refersTo="='2027'!$O$11" sheetId="11"/>
      <definedName name="Tau_j" refersTo="='2020'!$O$12" sheetId="4"/>
      <definedName name="Tau_j" refersTo="='2021'!$O$12" sheetId="5"/>
      <definedName name="Tau_j" refersTo="='2022'!$O$12" sheetId="6"/>
      <definedName name="Tau_j" refersTo="='2023'!$O$12" sheetId="7"/>
      <definedName name="Tau_j" refersTo="='2024'!$O$12" sheetId="8"/>
      <definedName name="Tau_j" refersTo="='2025'!$O$12" sheetId="9"/>
      <definedName name="Tau_j" refersTo="='2026'!$O$12" sheetId="10"/>
      <definedName name="Tau_j" refersTo="='2027'!$O$12" sheetId="11"/>
      <definedName name="Wh_Ppv" refersTo="='2020'!$D$11" sheetId="4"/>
      <definedName name="Wh_Ppv" refersTo="='2021'!$D$11" sheetId="5"/>
      <definedName name="Wh_Ppv" refersTo="='2022'!$D$11" sheetId="6"/>
      <definedName name="Wh_Ppv" refersTo="='2023'!$D$11" sheetId="7"/>
      <definedName name="Wh_Ppv" refersTo="='2024'!$D$11" sheetId="8"/>
      <definedName name="Wh_Ppv" refersTo="='2025'!$D$11" sheetId="9"/>
      <definedName name="Wh_Ppv" refersTo="='2026'!$D$11" sheetId="10"/>
      <definedName name="Wh_Ppv" refersTo="='2027'!$D$11" sheetId="11"/>
    </definedNames>
    <sheetDataSet>
      <sheetData sheetId="0">
        <row r="4">
          <cell r="C4">
            <v>43881</v>
          </cell>
        </row>
        <row r="5">
          <cell r="C5">
            <v>43983</v>
          </cell>
        </row>
        <row r="11">
          <cell r="C11">
            <v>145.71079101358038</v>
          </cell>
          <cell r="D11">
            <v>5.7103632068970088E-2</v>
          </cell>
          <cell r="K11" t="str">
            <v/>
          </cell>
        </row>
        <row r="12">
          <cell r="C12">
            <v>559.08096936676816</v>
          </cell>
          <cell r="D12">
            <v>0.17284296914645852</v>
          </cell>
          <cell r="K12" t="str">
            <v/>
          </cell>
        </row>
        <row r="13">
          <cell r="C13">
            <v>1793.3258118020576</v>
          </cell>
          <cell r="D13">
            <v>0.43633800334566664</v>
          </cell>
        </row>
        <row r="14">
          <cell r="C14">
            <v>2425.7784217327257</v>
          </cell>
          <cell r="D14">
            <v>0.77099288685729861</v>
          </cell>
          <cell r="H14">
            <v>0</v>
          </cell>
          <cell r="I14">
            <v>0</v>
          </cell>
        </row>
        <row r="15">
          <cell r="C15">
            <v>789.79730380821081</v>
          </cell>
          <cell r="D15">
            <v>1.6504768006708606</v>
          </cell>
          <cell r="H15">
            <v>1583.7227878323802</v>
          </cell>
          <cell r="I15">
            <v>-6.0080105186745447E-2</v>
          </cell>
        </row>
        <row r="16">
          <cell r="C16">
            <v>837.2939126105673</v>
          </cell>
          <cell r="D16">
            <v>2.8246525200632959</v>
          </cell>
          <cell r="H16">
            <v>1493.4152044453074</v>
          </cell>
          <cell r="I16">
            <v>-9.7543825692435693E-2</v>
          </cell>
        </row>
        <row r="17">
          <cell r="C17">
            <v>472.98876533161427</v>
          </cell>
          <cell r="D17">
            <v>5.3464702826956456</v>
          </cell>
          <cell r="H17">
            <v>1119.8382036243304</v>
          </cell>
          <cell r="I17">
            <v>-0.13771351318855096</v>
          </cell>
        </row>
        <row r="18">
          <cell r="C18">
            <v>832.32927847135284</v>
          </cell>
          <cell r="D18">
            <v>2.2799168773875924</v>
          </cell>
          <cell r="H18">
            <v>781.38852185640872</v>
          </cell>
          <cell r="I18">
            <v>6.2998314677834006</v>
          </cell>
        </row>
        <row r="19">
          <cell r="H19">
            <v>977.41092770961723</v>
          </cell>
        </row>
        <row r="20">
          <cell r="H20">
            <v>776.9554490783795</v>
          </cell>
        </row>
        <row r="32">
          <cell r="M32">
            <v>2</v>
          </cell>
          <cell r="N32">
            <v>882.04684925671052</v>
          </cell>
          <cell r="O32">
            <v>2.0394803140350283E-2</v>
          </cell>
        </row>
        <row r="35">
          <cell r="E35">
            <v>1.5275133097847489E-3</v>
          </cell>
          <cell r="F35">
            <v>5.6556228080375933E-3</v>
          </cell>
          <cell r="G35">
            <v>2.2039383238643967E-6</v>
          </cell>
        </row>
        <row r="36">
          <cell r="E36">
            <v>4.0548391740790118E-3</v>
          </cell>
          <cell r="F36">
            <v>1.3083410656443382E-2</v>
          </cell>
          <cell r="G36">
            <v>3.9923631305330141E-6</v>
          </cell>
        </row>
        <row r="37">
          <cell r="C37">
            <v>5.3893978729115229E-2</v>
          </cell>
          <cell r="E37">
            <v>6.8739481214382487E-3</v>
          </cell>
          <cell r="F37">
            <v>4.1707658943991616E-2</v>
          </cell>
          <cell r="G37">
            <v>9.7389982502581092E-6</v>
          </cell>
        </row>
        <row r="38">
          <cell r="E38">
            <v>1.0105830681227191E-2</v>
          </cell>
          <cell r="F38">
            <v>5.7276126569509769E-2</v>
          </cell>
          <cell r="G38">
            <v>1.7208648368754982E-5</v>
          </cell>
        </row>
        <row r="39">
          <cell r="E39">
            <v>1.3151660328319114E-2</v>
          </cell>
          <cell r="F39">
            <v>1.7923128035705185E-2</v>
          </cell>
          <cell r="G39">
            <v>3.6786802894367429E-5</v>
          </cell>
        </row>
        <row r="40">
          <cell r="E40">
            <v>1.6186628133811897E-2</v>
          </cell>
          <cell r="F40">
            <v>1.9051638078232656E-2</v>
          </cell>
          <cell r="G40">
            <v>6.3050977301506189E-5</v>
          </cell>
        </row>
        <row r="41">
          <cell r="E41">
            <v>1.9243959651373786E-2</v>
          </cell>
          <cell r="F41">
            <v>1.0673708133829691E-2</v>
          </cell>
          <cell r="G41">
            <v>1.1935275057340771E-4</v>
          </cell>
        </row>
        <row r="42">
          <cell r="E42">
            <v>2.2297997436472386E-2</v>
          </cell>
          <cell r="F42">
            <v>1.8938280893149757E-2</v>
          </cell>
          <cell r="G42">
            <v>5.0890482231990656E-5</v>
          </cell>
        </row>
        <row r="63">
          <cell r="K63">
            <v>4.6473501282434686</v>
          </cell>
          <cell r="L63">
            <v>3.5539156363515749</v>
          </cell>
          <cell r="M63">
            <v>2.9319152759041005</v>
          </cell>
        </row>
        <row r="64">
          <cell r="B64">
            <v>3.3100428848605858</v>
          </cell>
          <cell r="C64">
            <v>4.3859952936220461</v>
          </cell>
          <cell r="D64">
            <v>5.5874231895856417</v>
          </cell>
          <cell r="E64">
            <v>6.4721215213956809</v>
          </cell>
          <cell r="F64">
            <v>6.8596065049134349</v>
          </cell>
          <cell r="G64">
            <v>6.9046414316122009</v>
          </cell>
          <cell r="H64">
            <v>6.7262628704324214</v>
          </cell>
          <cell r="I64">
            <v>6.2977780435656623</v>
          </cell>
          <cell r="J64">
            <v>5.5821014486279052</v>
          </cell>
        </row>
      </sheetData>
      <sheetData sheetId="1" refreshError="1"/>
      <sheetData sheetId="2" refreshError="1"/>
      <sheetData sheetId="3">
        <row r="1">
          <cell r="Q1">
            <v>3.0000000000000001E-3</v>
          </cell>
        </row>
        <row r="10">
          <cell r="U10" t="str">
            <v>I</v>
          </cell>
        </row>
        <row r="11">
          <cell r="D11">
            <v>-0.49996214401220029</v>
          </cell>
          <cell r="O11">
            <v>0.7</v>
          </cell>
        </row>
      </sheetData>
      <sheetData sheetId="4">
        <row r="10">
          <cell r="U10">
            <v>0.5</v>
          </cell>
        </row>
        <row r="11">
          <cell r="D11">
            <v>39.294647503702436</v>
          </cell>
          <cell r="O11">
            <v>3.5000000000000003E-2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172.57184267759294</v>
          </cell>
          <cell r="O11">
            <v>3.5000000000000003E-2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293.54489498129988</v>
          </cell>
          <cell r="O11">
            <v>6.0999999999999999E-2</v>
          </cell>
        </row>
        <row r="12">
          <cell r="L12">
            <v>0</v>
          </cell>
          <cell r="O12">
            <v>182.5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423.72357510639267</v>
          </cell>
          <cell r="O11">
            <v>0.05</v>
          </cell>
        </row>
        <row r="12">
          <cell r="L12">
            <v>0</v>
          </cell>
          <cell r="O12">
            <v>912.5</v>
          </cell>
        </row>
        <row r="133">
          <cell r="O133">
            <v>5.3990894966876417E-2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572.01571824974235</v>
          </cell>
          <cell r="O11">
            <v>0.05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9">
        <row r="10">
          <cell r="U10">
            <v>0.50000000000000022</v>
          </cell>
        </row>
        <row r="11">
          <cell r="D11">
            <v>700.04913738400501</v>
          </cell>
          <cell r="O11">
            <v>0.05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836.66536953696777</v>
          </cell>
          <cell r="O11">
            <v>0.05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958.61223849829548</v>
          </cell>
          <cell r="O11">
            <v>0.05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ICEA Prod Espanès Hangar v41"/>
    </sheetNames>
    <definedNames>
      <definedName name="Df" refersTo="='2022'!$Q$379" sheetId="4"/>
      <definedName name="Df" refersTo="='2023'!$Q$379" sheetId="5"/>
      <definedName name="Df" refersTo="='2024'!$Q$379" sheetId="6"/>
      <definedName name="Df" refersTo="='2025'!$Q$379" sheetId="7"/>
      <definedName name="Df" refersTo="='2026'!$Q$379" sheetId="8"/>
      <definedName name="Df" refersTo="='2027'!$Q$379" sheetId="9"/>
      <definedName name="PertePVan" refersTo="='Réglage perte'!$Q$1"/>
      <definedName name="PousH" refersTo="='2022'!$U$10" sheetId="4"/>
      <definedName name="PousH" refersTo="='2023'!$U$10" sheetId="5"/>
      <definedName name="PousH" refersTo="='2024'!$U$10" sheetId="6"/>
      <definedName name="PousH" refersTo="='2025'!$U$10" sheetId="7"/>
      <definedName name="PousH" refersTo="='2026'!$U$10" sheetId="8"/>
      <definedName name="PousH" refersTo="='2027'!$U$10" sheetId="9"/>
      <definedName name="Pspv" refersTo="='2022'!$L$12" sheetId="4"/>
      <definedName name="Pspv" refersTo="='2023'!$L$12" sheetId="5"/>
      <definedName name="Pspv" refersTo="='2024'!$L$12" sheetId="6"/>
      <definedName name="Pspv" refersTo="='2025'!$L$12" sheetId="7"/>
      <definedName name="Pspv" refersTo="='2026'!$L$12" sheetId="8"/>
      <definedName name="Pspv" refersTo="='2027'!$L$12" sheetId="9"/>
      <definedName name="Salim" refersTo="='2022'!$O$11" sheetId="4"/>
      <definedName name="Salim" refersTo="='2023'!$O$11" sheetId="5"/>
      <definedName name="Salim" refersTo="='2024'!$O$11" sheetId="6"/>
      <definedName name="Salim" refersTo="='2025'!$O$11" sheetId="7"/>
      <definedName name="Salim" refersTo="='2026'!$O$11" sheetId="8"/>
      <definedName name="Salim" refersTo="='2027'!$O$11" sheetId="9"/>
      <definedName name="Tau_j" refersTo="='2022'!$O$12" sheetId="4"/>
      <definedName name="Tau_j" refersTo="='2023'!$O$12" sheetId="5"/>
      <definedName name="Tau_j" refersTo="='2024'!$O$12" sheetId="6"/>
      <definedName name="Tau_j" refersTo="='2025'!$O$12" sheetId="7"/>
      <definedName name="Tau_j" refersTo="='2026'!$O$12" sheetId="8"/>
      <definedName name="Tau_j" refersTo="='2027'!$O$12" sheetId="9"/>
      <definedName name="Wh_Ppv" refersTo="='2022'!$D$11" sheetId="4"/>
      <definedName name="Wh_Ppv" refersTo="='2023'!$D$11" sheetId="5"/>
      <definedName name="Wh_Ppv" refersTo="='2024'!$D$11" sheetId="6"/>
      <definedName name="Wh_Ppv" refersTo="='2025'!$D$11" sheetId="7"/>
      <definedName name="Wh_Ppv" refersTo="='2026'!$D$11" sheetId="8"/>
      <definedName name="Wh_Ppv" refersTo="='2027'!$D$11" sheetId="9"/>
    </definedNames>
    <sheetDataSet>
      <sheetData sheetId="0">
        <row r="4">
          <cell r="C4">
            <v>44424</v>
          </cell>
        </row>
        <row r="5">
          <cell r="C5">
            <v>44536</v>
          </cell>
        </row>
        <row r="11">
          <cell r="C11">
            <v>975.46900518979078</v>
          </cell>
          <cell r="D11">
            <v>1.9670278367604659</v>
          </cell>
          <cell r="K11" t="str">
            <v/>
          </cell>
        </row>
        <row r="12">
          <cell r="C12">
            <v>1804.2679485092444</v>
          </cell>
          <cell r="D12">
            <v>5.3619392829272767</v>
          </cell>
        </row>
        <row r="13">
          <cell r="C13">
            <v>1042.1447930344912</v>
          </cell>
          <cell r="D13">
            <v>9.22288290289295</v>
          </cell>
          <cell r="H13">
            <v>1374.1774298321866</v>
          </cell>
          <cell r="I13">
            <v>-0.27343625272676775</v>
          </cell>
        </row>
        <row r="14">
          <cell r="C14">
            <v>1740.6097990962335</v>
          </cell>
          <cell r="D14">
            <v>12.871730285426759</v>
          </cell>
          <cell r="H14">
            <v>1144.1158692661911</v>
          </cell>
          <cell r="I14">
            <v>-0.3248914757905883</v>
          </cell>
        </row>
        <row r="15">
          <cell r="C15">
            <v>1120.4107346921624</v>
          </cell>
          <cell r="D15">
            <v>17.329589335993006</v>
          </cell>
          <cell r="H15">
            <v>1530.4806442253762</v>
          </cell>
          <cell r="I15">
            <v>-0.58011543175026503</v>
          </cell>
        </row>
        <row r="16">
          <cell r="C16">
            <v>1654.7102946753485</v>
          </cell>
          <cell r="D16">
            <v>21.599011415632731</v>
          </cell>
          <cell r="H16">
            <v>1228.9004938124249</v>
          </cell>
          <cell r="I16">
            <v>-0.59073574754364344</v>
          </cell>
        </row>
        <row r="17">
          <cell r="H17">
            <v>1501.942487128169</v>
          </cell>
        </row>
        <row r="18">
          <cell r="H18">
            <v>1186.4948085770229</v>
          </cell>
        </row>
        <row r="19">
          <cell r="H19">
            <v>1479.678068315852</v>
          </cell>
        </row>
        <row r="20">
          <cell r="H20">
            <v>1172.9882467717914</v>
          </cell>
        </row>
        <row r="32">
          <cell r="M32">
            <v>2</v>
          </cell>
          <cell r="N32">
            <v>1340.8119443946587</v>
          </cell>
          <cell r="O32">
            <v>2.9837913836707679E-2</v>
          </cell>
        </row>
        <row r="35">
          <cell r="C35">
            <v>2.9436928440858216E-2</v>
          </cell>
          <cell r="E35">
            <v>4.9229731676435412E-3</v>
          </cell>
          <cell r="F35">
            <v>2.0742102046489776E-2</v>
          </cell>
          <cell r="G35">
            <v>4.0972298304039836E-5</v>
          </cell>
        </row>
        <row r="36">
          <cell r="E36">
            <v>9.346893388342558E-3</v>
          </cell>
          <cell r="F36">
            <v>3.9068578461073221E-2</v>
          </cell>
          <cell r="G36">
            <v>1.1169960918146003E-4</v>
          </cell>
        </row>
        <row r="37">
          <cell r="E37">
            <v>1.4416299507099974E-2</v>
          </cell>
          <cell r="F37">
            <v>2.2171767105474086E-2</v>
          </cell>
          <cell r="G37">
            <v>1.9190190018385602E-4</v>
          </cell>
        </row>
        <row r="38">
          <cell r="E38">
            <v>1.949695991360198E-2</v>
          </cell>
          <cell r="F38">
            <v>3.766211751179558E-2</v>
          </cell>
          <cell r="G38">
            <v>2.6821129382192157E-4</v>
          </cell>
        </row>
        <row r="39">
          <cell r="E39">
            <v>2.4619284960218073E-2</v>
          </cell>
          <cell r="F39">
            <v>2.3921965715907895E-2</v>
          </cell>
          <cell r="G39">
            <v>3.6115305029105161E-4</v>
          </cell>
        </row>
        <row r="40">
          <cell r="E40">
            <v>2.9735789799245401E-2</v>
          </cell>
          <cell r="F40">
            <v>3.5759937142080027E-2</v>
          </cell>
          <cell r="G40">
            <v>4.5019836037667573E-4</v>
          </cell>
        </row>
        <row r="61">
          <cell r="K61">
            <v>4.3086129638973665</v>
          </cell>
          <cell r="L61">
            <v>3.2243383969993311</v>
          </cell>
          <cell r="M61">
            <v>2.6391249925482336</v>
          </cell>
        </row>
        <row r="62">
          <cell r="B62">
            <v>3.0645266502289989</v>
          </cell>
          <cell r="C62">
            <v>4.1351957264920927</v>
          </cell>
          <cell r="D62">
            <v>5.291943986766503</v>
          </cell>
          <cell r="E62">
            <v>6.1889062299651867</v>
          </cell>
          <cell r="F62">
            <v>6.6110707462754279</v>
          </cell>
          <cell r="G62">
            <v>6.7103429532791008</v>
          </cell>
          <cell r="H62">
            <v>6.5186084670728945</v>
          </cell>
          <cell r="I62">
            <v>6.0236535665123645</v>
          </cell>
          <cell r="J62">
            <v>5.2481504378831545</v>
          </cell>
        </row>
      </sheetData>
      <sheetData sheetId="1"/>
      <sheetData sheetId="2"/>
      <sheetData sheetId="3">
        <row r="1">
          <cell r="Q1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230.38563798453106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0.49999999999999994</v>
          </cell>
        </row>
        <row r="11">
          <cell r="D11">
            <v>427.66160677756125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133">
          <cell r="O133">
            <v>3.4993230934781447E-2</v>
          </cell>
        </row>
        <row r="379">
          <cell r="Q379">
            <v>0.5</v>
          </cell>
        </row>
      </sheetData>
      <sheetData sheetId="6">
        <row r="10">
          <cell r="U10">
            <v>0.5</v>
          </cell>
        </row>
        <row r="11">
          <cell r="D11">
            <v>667.98288100415084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7">
        <row r="10">
          <cell r="U10">
            <v>0.5</v>
          </cell>
        </row>
        <row r="11">
          <cell r="D11">
            <v>883.84814286817709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8">
        <row r="10">
          <cell r="U10">
            <v>0.5</v>
          </cell>
        </row>
        <row r="11">
          <cell r="D11">
            <v>1125.3647485266192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9">
        <row r="10">
          <cell r="U10">
            <v>0.5</v>
          </cell>
        </row>
        <row r="11">
          <cell r="D11">
            <v>1336.2228457737365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</sheetNames>
    <definedNames>
      <definedName name="Df" refersTo="='2022'!$Q$379"/>
      <definedName name="Df" refersTo="='2023'!$Q$379"/>
      <definedName name="Df" refersTo="='2024'!$Q$379"/>
      <definedName name="Df" refersTo="='2025'!$Q$379"/>
      <definedName name="Df" refersTo="='2026'!$Q$379"/>
      <definedName name="Df" refersTo="='2027'!$Q$379"/>
      <definedName name="PertePVan" refersTo="='Réglage perte'!$Q$1"/>
      <definedName name="PousH" refersTo="='2022'!$U$10"/>
      <definedName name="PousH" refersTo="='2023'!$U$10"/>
      <definedName name="PousH" refersTo="='2024'!$U$10"/>
      <definedName name="PousH" refersTo="='2025'!$U$10"/>
      <definedName name="PousH" refersTo="='2026'!$U$10"/>
      <definedName name="PousH" refersTo="='2027'!$U$10"/>
      <definedName name="Pspv" refersTo="='2022'!$L$12"/>
      <definedName name="Pspv" refersTo="='2023'!$L$12"/>
      <definedName name="Pspv" refersTo="='2024'!$L$12"/>
      <definedName name="Pspv" refersTo="='2025'!$L$12"/>
      <definedName name="Pspv" refersTo="='2026'!$L$12"/>
      <definedName name="Pspv" refersTo="='2027'!$L$12"/>
      <definedName name="Salim" refersTo="='2022'!$O$11"/>
      <definedName name="Salim" refersTo="='2023'!$O$11"/>
      <definedName name="Salim" refersTo="='2024'!$O$11"/>
      <definedName name="Salim" refersTo="='2025'!$O$11"/>
      <definedName name="Salim" refersTo="='2026'!$O$11"/>
      <definedName name="Salim" refersTo="='2027'!$O$11"/>
      <definedName name="Tau_j" refersTo="='2022'!$O$12"/>
      <definedName name="Tau_j" refersTo="='2023'!$O$12"/>
      <definedName name="Tau_j" refersTo="='2024'!$O$12"/>
      <definedName name="Tau_j" refersTo="='2025'!$O$12"/>
      <definedName name="Tau_j" refersTo="='2026'!$O$12"/>
      <definedName name="Tau_j" refersTo="='2027'!$O$12"/>
      <definedName name="Wh_Ppv" refersTo="='2022'!$D$11"/>
      <definedName name="Wh_Ppv" refersTo="='2023'!$D$11"/>
      <definedName name="Wh_Ppv" refersTo="='2024'!$D$11"/>
      <definedName name="Wh_Ppv" refersTo="='2025'!$D$11"/>
      <definedName name="Wh_Ppv" refersTo="='2026'!$D$11"/>
      <definedName name="Wh_Ppv" refersTo="='2027'!$D$11"/>
    </definedNames>
    <sheetDataSet>
      <sheetData sheetId="0">
        <row r="4">
          <cell r="C4">
            <v>44522</v>
          </cell>
        </row>
        <row r="5">
          <cell r="C5">
            <v>44568</v>
          </cell>
        </row>
        <row r="11">
          <cell r="C11">
            <v>171.33526937231565</v>
          </cell>
          <cell r="D11">
            <v>1.4252258981740151</v>
          </cell>
          <cell r="K11" t="str">
            <v/>
          </cell>
        </row>
        <row r="12">
          <cell r="C12">
            <v>391.52247127308345</v>
          </cell>
          <cell r="D12">
            <v>3.6545299173692896</v>
          </cell>
        </row>
        <row r="13">
          <cell r="C13">
            <v>237.49236073322476</v>
          </cell>
          <cell r="D13">
            <v>6.1664048973024128</v>
          </cell>
          <cell r="H13">
            <v>316.57328592679636</v>
          </cell>
          <cell r="I13">
            <v>-0.17330328244891025</v>
          </cell>
        </row>
        <row r="14">
          <cell r="C14">
            <v>423.92866851651638</v>
          </cell>
          <cell r="D14">
            <v>8.3783139030311862</v>
          </cell>
          <cell r="H14">
            <v>255.05873250174659</v>
          </cell>
          <cell r="I14">
            <v>-0.19426814182630281</v>
          </cell>
        </row>
        <row r="15">
          <cell r="C15">
            <v>262.60004183279699</v>
          </cell>
          <cell r="D15">
            <v>11.153770528819951</v>
          </cell>
          <cell r="H15">
            <v>373.45438500078654</v>
          </cell>
          <cell r="I15">
            <v>-0.37516310993292024</v>
          </cell>
        </row>
        <row r="16">
          <cell r="C16">
            <v>402.87449665479721</v>
          </cell>
          <cell r="D16">
            <v>13.749014531549955</v>
          </cell>
          <cell r="H16">
            <v>297.86364420318057</v>
          </cell>
          <cell r="I16">
            <v>-0.37576501754765701</v>
          </cell>
        </row>
        <row r="17">
          <cell r="H17">
            <v>369.47840364935615</v>
          </cell>
        </row>
        <row r="18">
          <cell r="H18">
            <v>287.24451263330172</v>
          </cell>
        </row>
        <row r="19">
          <cell r="H19">
            <v>363.96041071657891</v>
          </cell>
        </row>
        <row r="20">
          <cell r="H20">
            <v>283.77783729027925</v>
          </cell>
        </row>
        <row r="32">
          <cell r="M32">
            <v>2</v>
          </cell>
          <cell r="N32">
            <v>326.98201496264647</v>
          </cell>
          <cell r="O32">
            <v>2.9999509265102572E-2</v>
          </cell>
        </row>
        <row r="35">
          <cell r="C35">
            <v>2.4698364221137914E-2</v>
          </cell>
          <cell r="E35">
            <v>2.8173571074794528E-3</v>
          </cell>
          <cell r="F35">
            <v>1.4934919672471136E-2</v>
          </cell>
          <cell r="G35">
            <v>1.224006221423847E-4</v>
          </cell>
        </row>
        <row r="36">
          <cell r="E36">
            <v>8.0137676919729874E-3</v>
          </cell>
          <cell r="F36">
            <v>3.4815708367695798E-2</v>
          </cell>
          <cell r="G36">
            <v>3.1395685764812179E-4</v>
          </cell>
        </row>
        <row r="37">
          <cell r="E37">
            <v>1.3073400940437898E-2</v>
          </cell>
          <cell r="F37">
            <v>2.0817257536095764E-2</v>
          </cell>
          <cell r="G37">
            <v>5.293490480650356E-4</v>
          </cell>
        </row>
        <row r="38">
          <cell r="E38">
            <v>1.8150465809984837E-2</v>
          </cell>
          <cell r="F38">
            <v>3.7848489454020445E-2</v>
          </cell>
          <cell r="G38">
            <v>7.2026292993363254E-4</v>
          </cell>
        </row>
        <row r="39">
          <cell r="E39">
            <v>2.3264003681248875E-2</v>
          </cell>
          <cell r="F39">
            <v>2.3117932587852073E-2</v>
          </cell>
          <cell r="G39">
            <v>9.5922828815782791E-4</v>
          </cell>
        </row>
        <row r="40">
          <cell r="E40">
            <v>2.8375362404539535E-2</v>
          </cell>
          <cell r="F40">
            <v>3.5942509594966414E-2</v>
          </cell>
          <cell r="G40">
            <v>1.1828976983937064E-3</v>
          </cell>
        </row>
        <row r="61">
          <cell r="K61">
            <v>3.7998689759698356</v>
          </cell>
          <cell r="L61">
            <v>2.5955073444707137</v>
          </cell>
          <cell r="M61">
            <v>1.9108614027620487</v>
          </cell>
        </row>
        <row r="62">
          <cell r="B62">
            <v>2.303335035196441</v>
          </cell>
          <cell r="C62">
            <v>3.4198258898255309</v>
          </cell>
          <cell r="D62">
            <v>4.8027926651767041</v>
          </cell>
          <cell r="E62">
            <v>6.1403163982846189</v>
          </cell>
          <cell r="F62">
            <v>6.7989229219675638</v>
          </cell>
          <cell r="G62">
            <v>6.9367385877358636</v>
          </cell>
          <cell r="H62">
            <v>6.6555615206690923</v>
          </cell>
          <cell r="I62">
            <v>5.9373752024016513</v>
          </cell>
          <cell r="J62">
            <v>4.97539980931339</v>
          </cell>
        </row>
      </sheetData>
      <sheetData sheetId="1" refreshError="1"/>
      <sheetData sheetId="2" refreshError="1"/>
      <sheetData sheetId="3">
        <row r="1">
          <cell r="Q1">
            <v>5.0000000000000001E-3</v>
          </cell>
        </row>
        <row r="10">
          <cell r="U10">
            <v>8.0000000000000002E-3</v>
          </cell>
        </row>
        <row r="11">
          <cell r="D11">
            <v>0.49381682607666977</v>
          </cell>
          <cell r="O11">
            <v>0.5</v>
          </cell>
        </row>
      </sheetData>
      <sheetData sheetId="4">
        <row r="10">
          <cell r="U10">
            <v>0.5</v>
          </cell>
        </row>
        <row r="11">
          <cell r="D11">
            <v>32.230269487068654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0.5</v>
          </cell>
        </row>
        <row r="11">
          <cell r="D11">
            <v>89.402927962277317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133">
          <cell r="O133">
            <v>3.0700399563379131E-2</v>
          </cell>
        </row>
        <row r="379">
          <cell r="Q379">
            <v>0.5</v>
          </cell>
        </row>
      </sheetData>
      <sheetData sheetId="6">
        <row r="10">
          <cell r="U10">
            <v>0.49999999999999989</v>
          </cell>
        </row>
        <row r="11">
          <cell r="D11">
            <v>147.22236744888323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7">
        <row r="10">
          <cell r="U10">
            <v>0.49999999999999978</v>
          </cell>
        </row>
        <row r="11">
          <cell r="D11">
            <v>199.67332346086368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8">
        <row r="10">
          <cell r="U10">
            <v>0.49999999999999978</v>
          </cell>
        </row>
        <row r="11">
          <cell r="D11">
            <v>258.25132536949059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9">
        <row r="10">
          <cell r="U10">
            <v>0.49999999999999956</v>
          </cell>
        </row>
        <row r="11">
          <cell r="D11">
            <v>309.27949828581768</v>
          </cell>
          <cell r="O11">
            <v>0.08</v>
          </cell>
        </row>
        <row r="12">
          <cell r="L12">
            <v>0</v>
          </cell>
          <cell r="O12">
            <v>912.5</v>
          </cell>
        </row>
        <row r="379">
          <cell r="Q379">
            <v>0.5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urevill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43243</v>
          </cell>
        </row>
        <row r="5">
          <cell r="C5">
            <v>43272</v>
          </cell>
        </row>
        <row r="11">
          <cell r="D11">
            <v>1.6747213134869068</v>
          </cell>
        </row>
        <row r="12">
          <cell r="D12">
            <v>6.4202606135542934</v>
          </cell>
        </row>
        <row r="13">
          <cell r="D13">
            <v>9.6003169398723021</v>
          </cell>
        </row>
        <row r="14">
          <cell r="C14">
            <v>404.81144990838033</v>
          </cell>
          <cell r="D14">
            <v>13.835903972977185</v>
          </cell>
          <cell r="H14">
            <v>601.44417563785896</v>
          </cell>
          <cell r="I14">
            <v>-0.76147889062777985</v>
          </cell>
          <cell r="K14">
            <v>44306</v>
          </cell>
        </row>
        <row r="15">
          <cell r="C15">
            <v>804.52170422987354</v>
          </cell>
          <cell r="D15">
            <v>20.242296160219617</v>
          </cell>
          <cell r="H15">
            <v>609.68440992088688</v>
          </cell>
          <cell r="I15">
            <v>-1.1582575926223839</v>
          </cell>
          <cell r="K15" t="str">
            <v/>
          </cell>
        </row>
        <row r="16">
          <cell r="C16">
            <v>1293.225169315383</v>
          </cell>
          <cell r="D16">
            <v>24.496650103261722</v>
          </cell>
          <cell r="H16">
            <v>433.16610324509861</v>
          </cell>
          <cell r="I16">
            <v>-1.0500544488684156</v>
          </cell>
        </row>
        <row r="17">
          <cell r="C17">
            <v>551.42505104598888</v>
          </cell>
          <cell r="D17">
            <v>33.13843318980647</v>
          </cell>
          <cell r="H17">
            <v>985.9256445745408</v>
          </cell>
          <cell r="I17">
            <v>-3.033756168705164</v>
          </cell>
        </row>
        <row r="18">
          <cell r="C18">
            <v>653.07793041667139</v>
          </cell>
          <cell r="D18">
            <v>7.3154626981524942</v>
          </cell>
          <cell r="H18">
            <v>896.59230599640375</v>
          </cell>
          <cell r="I18">
            <v>29.433576733128277</v>
          </cell>
        </row>
        <row r="19">
          <cell r="C19">
            <v>411.62679083949178</v>
          </cell>
          <cell r="D19">
            <v>6.3425709979413663</v>
          </cell>
          <cell r="H19">
            <v>753.28305041858107</v>
          </cell>
          <cell r="I19">
            <v>40.022316481804936</v>
          </cell>
        </row>
        <row r="20">
          <cell r="C20">
            <v>642.38960327869893</v>
          </cell>
          <cell r="D20">
            <v>10.265028237076271</v>
          </cell>
          <cell r="H20">
            <v>566.60587698495863</v>
          </cell>
          <cell r="I20">
            <v>44.564959811435152</v>
          </cell>
        </row>
        <row r="32">
          <cell r="M32">
            <v>2</v>
          </cell>
          <cell r="N32">
            <v>630.2523492478756</v>
          </cell>
          <cell r="O32">
            <v>6.2359571936301671E-2</v>
          </cell>
        </row>
        <row r="35">
          <cell r="E35">
            <v>2.3974021512186898E-3</v>
          </cell>
          <cell r="F35">
            <v>1.3832790032349813E-2</v>
          </cell>
          <cell r="G35">
            <v>2.9037155300816318E-4</v>
          </cell>
        </row>
        <row r="36">
          <cell r="E36">
            <v>8.691787015430141E-3</v>
          </cell>
          <cell r="F36">
            <v>4.64662655805008E-2</v>
          </cell>
          <cell r="G36">
            <v>5.4181857619343932E-4</v>
          </cell>
        </row>
        <row r="37">
          <cell r="E37">
            <v>1.6822207052419276E-2</v>
          </cell>
          <cell r="F37">
            <v>7.9871403999922944E-2</v>
          </cell>
          <cell r="G37">
            <v>8.2999836663269315E-4</v>
          </cell>
        </row>
        <row r="38">
          <cell r="E38">
            <v>2.5120862823189982E-2</v>
          </cell>
          <cell r="F38">
            <v>3.6164232981732221E-2</v>
          </cell>
          <cell r="G38">
            <v>1.1918587898579105E-3</v>
          </cell>
          <cell r="L38">
            <v>7.6966161784992645E-2</v>
          </cell>
        </row>
        <row r="39">
          <cell r="C39">
            <v>0.10173339612084951</v>
          </cell>
          <cell r="E39">
            <v>3.3068068815850199E-2</v>
          </cell>
          <cell r="F39">
            <v>7.279463496866663E-2</v>
          </cell>
          <cell r="G39">
            <v>1.7034578592772934E-3</v>
          </cell>
        </row>
        <row r="40">
          <cell r="E40">
            <v>4.1603607836952265E-2</v>
          </cell>
          <cell r="F40">
            <v>0.1228458034572634</v>
          </cell>
          <cell r="G40">
            <v>2.0630059167740765E-3</v>
          </cell>
        </row>
        <row r="41">
          <cell r="E41">
            <v>5.0044946306068094E-2</v>
          </cell>
          <cell r="F41">
            <v>4.8788453744705293E-2</v>
          </cell>
          <cell r="G41">
            <v>2.7891043179328382E-3</v>
          </cell>
        </row>
        <row r="42">
          <cell r="E42">
            <v>5.8410888640135557E-2</v>
          </cell>
          <cell r="F42">
            <v>5.8258389633921701E-2</v>
          </cell>
          <cell r="G42">
            <v>6.1468027347207554E-4</v>
          </cell>
        </row>
        <row r="43">
          <cell r="E43">
            <v>6.6954916361464153E-2</v>
          </cell>
          <cell r="F43">
            <v>3.5903673950717009E-2</v>
          </cell>
          <cell r="G43">
            <v>5.3281269262764103E-4</v>
          </cell>
        </row>
        <row r="44">
          <cell r="E44">
            <v>7.5467183404328633E-2</v>
          </cell>
          <cell r="F44">
            <v>5.7321003313046619E-2</v>
          </cell>
          <cell r="G44">
            <v>8.6277062377573745E-4</v>
          </cell>
        </row>
        <row r="65">
          <cell r="K65">
            <v>4.0734623215467449</v>
          </cell>
          <cell r="L65">
            <v>3.1643982376407762</v>
          </cell>
          <cell r="M65">
            <v>2.6325249932989419</v>
          </cell>
        </row>
        <row r="66">
          <cell r="B66">
            <v>3.0879538752723068</v>
          </cell>
          <cell r="C66">
            <v>3.9871964712540322</v>
          </cell>
          <cell r="D66">
            <v>4.8585286552246876</v>
          </cell>
          <cell r="E66">
            <v>5.4697241135178993</v>
          </cell>
          <cell r="F66">
            <v>5.6429609694343403</v>
          </cell>
          <cell r="G66">
            <v>5.5204864182630269</v>
          </cell>
          <cell r="H66">
            <v>5.2512246583118607</v>
          </cell>
          <cell r="I66">
            <v>4.9459736943249215</v>
          </cell>
          <cell r="J66">
            <v>4.5648068807693427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8.0000000000000002E-3</v>
          </cell>
        </row>
      </sheetData>
      <sheetData sheetId="4">
        <row r="10">
          <cell r="U10">
            <v>0.5</v>
          </cell>
        </row>
        <row r="11">
          <cell r="D11">
            <v>13.605324335426303</v>
          </cell>
          <cell r="O11">
            <v>0.14000000000000001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0.5</v>
          </cell>
        </row>
        <row r="11">
          <cell r="D11">
            <v>97.534114424604923</v>
          </cell>
          <cell r="O11">
            <v>0.08</v>
          </cell>
        </row>
        <row r="12">
          <cell r="L12">
            <v>0</v>
          </cell>
          <cell r="O12">
            <v>182.5</v>
          </cell>
        </row>
        <row r="379">
          <cell r="Q379">
            <v>0.7</v>
          </cell>
        </row>
      </sheetData>
      <sheetData sheetId="6">
        <row r="10">
          <cell r="U10">
            <v>0.5</v>
          </cell>
        </row>
        <row r="11">
          <cell r="D11">
            <v>176.98408528951586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7">
        <row r="10">
          <cell r="U10">
            <v>0.5</v>
          </cell>
        </row>
        <row r="11">
          <cell r="D11">
            <v>274.30454854463824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8">
        <row r="10">
          <cell r="U10">
            <v>0.5</v>
          </cell>
        </row>
        <row r="11">
          <cell r="D11">
            <v>353.7677886955953</v>
          </cell>
          <cell r="O11">
            <v>0.28000000000000003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9">
        <row r="10">
          <cell r="U10">
            <v>0.5</v>
          </cell>
        </row>
        <row r="11">
          <cell r="D11">
            <v>420.47709376854255</v>
          </cell>
          <cell r="O11">
            <v>0.16</v>
          </cell>
        </row>
        <row r="12">
          <cell r="L12">
            <v>0</v>
          </cell>
          <cell r="O12">
            <v>1095</v>
          </cell>
        </row>
        <row r="133">
          <cell r="O133">
            <v>0.10891380728034514</v>
          </cell>
        </row>
        <row r="379">
          <cell r="Q379">
            <v>0.7</v>
          </cell>
        </row>
      </sheetData>
      <sheetData sheetId="10">
        <row r="10">
          <cell r="U10">
            <v>0.5</v>
          </cell>
        </row>
        <row r="11">
          <cell r="D11">
            <v>538.66874381412345</v>
          </cell>
          <cell r="O11">
            <v>0.16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1">
        <row r="10">
          <cell r="U10">
            <v>0.5</v>
          </cell>
        </row>
        <row r="11">
          <cell r="D11">
            <v>618.65146600749904</v>
          </cell>
          <cell r="O11">
            <v>0.16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2">
        <row r="10">
          <cell r="U10">
            <v>0.5</v>
          </cell>
        </row>
        <row r="11">
          <cell r="D11">
            <v>719.45087446962316</v>
          </cell>
          <cell r="O11">
            <v>0.16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3">
        <row r="10">
          <cell r="U10">
            <v>0.5</v>
          </cell>
        </row>
        <row r="11">
          <cell r="D11">
            <v>786.40397246267275</v>
          </cell>
          <cell r="O11">
            <v>0.16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yguesvives MJC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43250</v>
          </cell>
        </row>
        <row r="5">
          <cell r="C5">
            <v>43297</v>
          </cell>
        </row>
        <row r="11">
          <cell r="C11">
            <v>36.932606393934712</v>
          </cell>
          <cell r="D11">
            <v>0.21713339725458305</v>
          </cell>
        </row>
        <row r="12">
          <cell r="C12">
            <v>285.97822596912249</v>
          </cell>
          <cell r="D12">
            <v>1.0249109382217445</v>
          </cell>
        </row>
        <row r="13">
          <cell r="C13">
            <v>455.92146644226523</v>
          </cell>
          <cell r="D13">
            <v>1.6939645180345639</v>
          </cell>
        </row>
        <row r="14">
          <cell r="C14">
            <v>249.67904070489021</v>
          </cell>
          <cell r="D14">
            <v>2.2191368537490663</v>
          </cell>
          <cell r="H14">
            <v>317.16402703247957</v>
          </cell>
          <cell r="I14">
            <v>-6.4182154756231125E-2</v>
          </cell>
          <cell r="K14">
            <v>44306</v>
          </cell>
        </row>
        <row r="15">
          <cell r="C15">
            <v>464.549706459432</v>
          </cell>
          <cell r="D15">
            <v>3.1671333457043644</v>
          </cell>
          <cell r="H15">
            <v>310.77354477397688</v>
          </cell>
          <cell r="I15">
            <v>-9.003125290007441E-2</v>
          </cell>
          <cell r="K15" t="str">
            <v/>
          </cell>
        </row>
        <row r="16">
          <cell r="C16">
            <v>722.4916974460001</v>
          </cell>
          <cell r="D16">
            <v>3.8592625157259541</v>
          </cell>
          <cell r="H16">
            <v>209.9046771866158</v>
          </cell>
          <cell r="I16">
            <v>-7.598548009116346E-2</v>
          </cell>
        </row>
        <row r="17">
          <cell r="C17">
            <v>345.1392493368059</v>
          </cell>
          <cell r="D17">
            <v>4.8235135779367502</v>
          </cell>
          <cell r="H17">
            <v>556.88896572175872</v>
          </cell>
          <cell r="I17">
            <v>-0.24486115593349211</v>
          </cell>
        </row>
        <row r="18">
          <cell r="C18">
            <v>452.88267972139681</v>
          </cell>
          <cell r="D18">
            <v>1.1191523040830476</v>
          </cell>
          <cell r="H18">
            <v>494.49003201937273</v>
          </cell>
          <cell r="I18">
            <v>4.1940637952231814</v>
          </cell>
        </row>
        <row r="19">
          <cell r="C19">
            <v>285.5943321702145</v>
          </cell>
          <cell r="D19">
            <v>0.94850966746346832</v>
          </cell>
          <cell r="H19">
            <v>483.34828437630705</v>
          </cell>
          <cell r="I19">
            <v>5.2691481988944435</v>
          </cell>
        </row>
        <row r="20">
          <cell r="C20">
            <v>445.66795699331379</v>
          </cell>
          <cell r="D20">
            <v>1.6038008653918667</v>
          </cell>
          <cell r="H20">
            <v>368.53863786143432</v>
          </cell>
          <cell r="I20">
            <v>5.4345042051778591</v>
          </cell>
        </row>
        <row r="32">
          <cell r="M32">
            <v>2</v>
          </cell>
          <cell r="N32">
            <v>424.09237547474686</v>
          </cell>
          <cell r="O32">
            <v>3.9773708690149588E-2</v>
          </cell>
        </row>
        <row r="35">
          <cell r="E35">
            <v>2.5877376710289469E-3</v>
          </cell>
          <cell r="F35">
            <v>8.4529321930039529E-3</v>
          </cell>
          <cell r="G35">
            <v>4.9278672711253576E-5</v>
          </cell>
        </row>
        <row r="36">
          <cell r="E36">
            <v>8.5781075074727754E-3</v>
          </cell>
          <cell r="F36">
            <v>2.4484271937245897E-2</v>
          </cell>
          <cell r="G36">
            <v>8.5633961257515763E-5</v>
          </cell>
        </row>
        <row r="37">
          <cell r="E37">
            <v>1.6671419666160758E-2</v>
          </cell>
          <cell r="F37">
            <v>4.0275122779894493E-2</v>
          </cell>
          <cell r="G37">
            <v>1.4375491578859137E-4</v>
          </cell>
        </row>
        <row r="38">
          <cell r="E38">
            <v>2.4305450568618988E-2</v>
          </cell>
          <cell r="F38">
            <v>2.2240989009378057E-2</v>
          </cell>
          <cell r="G38">
            <v>1.9327389647250901E-4</v>
          </cell>
          <cell r="L38">
            <v>4.1728153322544911E-2</v>
          </cell>
        </row>
        <row r="39">
          <cell r="C39">
            <v>5.4012454682629565E-2</v>
          </cell>
          <cell r="E39">
            <v>3.1657874740773459E-2</v>
          </cell>
          <cell r="F39">
            <v>4.0878522946332305E-2</v>
          </cell>
          <cell r="G39">
            <v>2.6741741248463818E-4</v>
          </cell>
        </row>
        <row r="40">
          <cell r="E40">
            <v>4.014522011221569E-2</v>
          </cell>
          <cell r="F40">
            <v>6.5144012790875103E-2</v>
          </cell>
          <cell r="G40">
            <v>3.25891198840011E-4</v>
          </cell>
        </row>
        <row r="41">
          <cell r="E41">
            <v>4.8532047364579563E-2</v>
          </cell>
          <cell r="F41">
            <v>3.0022953657557198E-2</v>
          </cell>
          <cell r="G41">
            <v>4.0678201872511934E-4</v>
          </cell>
        </row>
        <row r="42">
          <cell r="E42">
            <v>5.6908474479342615E-2</v>
          </cell>
          <cell r="F42">
            <v>3.9839451575600704E-2</v>
          </cell>
          <cell r="G42">
            <v>9.4472338122122789E-5</v>
          </cell>
        </row>
        <row r="43">
          <cell r="E43">
            <v>6.5414542425052444E-2</v>
          </cell>
          <cell r="F43">
            <v>2.4743024045581853E-2</v>
          </cell>
          <cell r="G43">
            <v>8.0065343080383371E-5</v>
          </cell>
        </row>
        <row r="44">
          <cell r="E44">
            <v>7.3920906182636928E-2</v>
          </cell>
          <cell r="F44">
            <v>3.9207064361289415E-2</v>
          </cell>
          <cell r="G44">
            <v>1.353916123789096E-4</v>
          </cell>
        </row>
        <row r="65">
          <cell r="K65">
            <v>4.1576005432148433</v>
          </cell>
          <cell r="L65">
            <v>3.1862420245183412</v>
          </cell>
          <cell r="M65">
            <v>2.6056088428202466</v>
          </cell>
        </row>
        <row r="66">
          <cell r="B66">
            <v>3.0089978327683808</v>
          </cell>
          <cell r="C66">
            <v>4.0193008542475201</v>
          </cell>
          <cell r="D66">
            <v>5.044168285396335</v>
          </cell>
          <cell r="E66">
            <v>5.8283414894560872</v>
          </cell>
          <cell r="F66">
            <v>6.0566399917306768</v>
          </cell>
          <cell r="G66">
            <v>5.9561135568221912</v>
          </cell>
          <cell r="H66">
            <v>5.7348031749275039</v>
          </cell>
          <cell r="I66">
            <v>5.436855996901226</v>
          </cell>
          <cell r="J66">
            <v>4.910607107023746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5.4999999999999997E-3</v>
          </cell>
        </row>
      </sheetData>
      <sheetData sheetId="4">
        <row r="10">
          <cell r="U10">
            <v>0.3</v>
          </cell>
        </row>
        <row r="11">
          <cell r="D11">
            <v>11.277177908806152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5">
        <row r="10">
          <cell r="U10">
            <v>0.3</v>
          </cell>
        </row>
        <row r="11">
          <cell r="D11">
            <v>99.340815579875198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6">
        <row r="10">
          <cell r="U10">
            <v>0.3</v>
          </cell>
        </row>
        <row r="11">
          <cell r="D11">
            <v>185.62870582959113</v>
          </cell>
          <cell r="O11">
            <v>7.0000000000000007E-2</v>
          </cell>
        </row>
        <row r="12">
          <cell r="L12">
            <v>0</v>
          </cell>
          <cell r="O12">
            <v>949</v>
          </cell>
        </row>
        <row r="379">
          <cell r="Q379">
            <v>0.5</v>
          </cell>
        </row>
      </sheetData>
      <sheetData sheetId="7">
        <row r="10">
          <cell r="U10">
            <v>0.3</v>
          </cell>
        </row>
        <row r="11">
          <cell r="D11">
            <v>266.3803493750911</v>
          </cell>
          <cell r="O11">
            <v>0.08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8">
        <row r="10">
          <cell r="U10">
            <v>0.30000000000000004</v>
          </cell>
        </row>
        <row r="11">
          <cell r="D11">
            <v>348.72497652425955</v>
          </cell>
          <cell r="O11">
            <v>0.12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9">
        <row r="10">
          <cell r="U10">
            <v>0.30000000000000004</v>
          </cell>
        </row>
        <row r="11">
          <cell r="D11">
            <v>428.05366464512372</v>
          </cell>
          <cell r="O11">
            <v>0.1</v>
          </cell>
        </row>
        <row r="12">
          <cell r="L12">
            <v>-1.1999999999999999E-3</v>
          </cell>
          <cell r="O12">
            <v>949</v>
          </cell>
        </row>
        <row r="133">
          <cell r="O133">
            <v>6.0048870093341276E-2</v>
          </cell>
        </row>
        <row r="379">
          <cell r="Q379">
            <v>0.5</v>
          </cell>
        </row>
      </sheetData>
      <sheetData sheetId="10">
        <row r="10">
          <cell r="U10">
            <v>0.30000000000000004</v>
          </cell>
        </row>
        <row r="11">
          <cell r="D11">
            <v>532.09335864367313</v>
          </cell>
          <cell r="O11">
            <v>0.1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1">
        <row r="10">
          <cell r="U10">
            <v>0.30000000000000004</v>
          </cell>
        </row>
        <row r="11">
          <cell r="D11">
            <v>612.08526395564331</v>
          </cell>
          <cell r="O11">
            <v>0.1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2">
        <row r="10">
          <cell r="U10">
            <v>0.3</v>
          </cell>
        </row>
        <row r="11">
          <cell r="D11">
            <v>708.68378258688244</v>
          </cell>
          <cell r="O11">
            <v>0.1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3">
        <row r="10">
          <cell r="U10">
            <v>0.3</v>
          </cell>
        </row>
        <row r="11">
          <cell r="D11">
            <v>782.42383079742103</v>
          </cell>
          <cell r="O11">
            <v>0.1</v>
          </cell>
        </row>
        <row r="12">
          <cell r="L12">
            <v>-1.1999999999999999E-3</v>
          </cell>
          <cell r="O12">
            <v>949</v>
          </cell>
        </row>
        <row r="379">
          <cell r="Q379">
            <v>0.5</v>
          </cell>
        </row>
      </sheetData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Labège garderi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43259</v>
          </cell>
        </row>
        <row r="5">
          <cell r="C5">
            <v>43301</v>
          </cell>
        </row>
        <row r="11">
          <cell r="C11">
            <v>30.609239625815459</v>
          </cell>
          <cell r="D11">
            <v>6.5772109419627092E-2</v>
          </cell>
        </row>
        <row r="12">
          <cell r="C12">
            <v>253.32286439712462</v>
          </cell>
          <cell r="D12">
            <v>0.25578101805789927</v>
          </cell>
        </row>
        <row r="13">
          <cell r="C13">
            <v>457.78952847373029</v>
          </cell>
          <cell r="D13">
            <v>0.45840007211875244</v>
          </cell>
        </row>
        <row r="14">
          <cell r="C14">
            <v>280.10141859979717</v>
          </cell>
          <cell r="D14">
            <v>0.65631323847225664</v>
          </cell>
          <cell r="H14">
            <v>407.63927244838794</v>
          </cell>
          <cell r="I14">
            <v>-2.4040267854287145E-2</v>
          </cell>
          <cell r="K14">
            <v>44307</v>
          </cell>
        </row>
        <row r="15">
          <cell r="C15">
            <v>453.41658213095519</v>
          </cell>
          <cell r="D15">
            <v>1.0057182322818914</v>
          </cell>
          <cell r="H15">
            <v>411.53238463052907</v>
          </cell>
          <cell r="I15">
            <v>-3.7400982235009206E-2</v>
          </cell>
          <cell r="K15" t="str">
            <v/>
          </cell>
        </row>
        <row r="16">
          <cell r="C16">
            <v>704.36391703205175</v>
          </cell>
          <cell r="D16">
            <v>1.2907991316150889</v>
          </cell>
          <cell r="H16">
            <v>292.51348984593392</v>
          </cell>
          <cell r="I16">
            <v>-3.5212085933628678E-2</v>
          </cell>
        </row>
        <row r="17">
          <cell r="C17">
            <v>333.96338443849078</v>
          </cell>
          <cell r="D17">
            <v>1.8070610430373073</v>
          </cell>
          <cell r="H17">
            <v>591.34644106767382</v>
          </cell>
          <cell r="I17">
            <v>-9.6937171352466267E-2</v>
          </cell>
        </row>
        <row r="18">
          <cell r="C18">
            <v>444.87830159402046</v>
          </cell>
          <cell r="D18">
            <v>0.5159293957786556</v>
          </cell>
          <cell r="H18">
            <v>529.83868230005851</v>
          </cell>
          <cell r="I18">
            <v>1.6877102058504887</v>
          </cell>
        </row>
        <row r="19">
          <cell r="C19">
            <v>275.73449651511783</v>
          </cell>
          <cell r="D19">
            <v>0.24093573263099266</v>
          </cell>
          <cell r="H19">
            <v>505.31533849794596</v>
          </cell>
          <cell r="I19">
            <v>2.6146527978014884</v>
          </cell>
        </row>
        <row r="20">
          <cell r="C20">
            <v>437.81938448646571</v>
          </cell>
          <cell r="D20">
            <v>0.43572842946881185</v>
          </cell>
          <cell r="H20">
            <v>395.58962406000563</v>
          </cell>
          <cell r="I20">
            <v>3.0572681411803653</v>
          </cell>
        </row>
        <row r="32">
          <cell r="M32">
            <v>2</v>
          </cell>
          <cell r="N32">
            <v>449.05424587910392</v>
          </cell>
          <cell r="O32">
            <v>4.1872621846960625E-2</v>
          </cell>
        </row>
        <row r="35">
          <cell r="E35">
            <v>2.3084459283426715E-3</v>
          </cell>
          <cell r="F35">
            <v>6.6168115946364887E-3</v>
          </cell>
          <cell r="G35">
            <v>1.4124309609182243E-5</v>
          </cell>
        </row>
        <row r="36">
          <cell r="E36">
            <v>8.3819987309747424E-3</v>
          </cell>
          <cell r="F36">
            <v>2.1318245012230778E-2</v>
          </cell>
          <cell r="G36">
            <v>2.1072123509646572E-5</v>
          </cell>
        </row>
        <row r="37">
          <cell r="E37">
            <v>1.6473918027598417E-2</v>
          </cell>
          <cell r="F37">
            <v>3.9995627830974871E-2</v>
          </cell>
          <cell r="G37">
            <v>3.8484404403528296E-5</v>
          </cell>
        </row>
        <row r="38">
          <cell r="E38">
            <v>2.4718158610383706E-2</v>
          </cell>
          <cell r="F38">
            <v>2.4581160282345516E-2</v>
          </cell>
          <cell r="G38">
            <v>5.6181638145550227E-5</v>
          </cell>
          <cell r="L38">
            <v>5.1744622120926613E-2</v>
          </cell>
        </row>
        <row r="39">
          <cell r="C39">
            <v>5.1297728120770582E-2</v>
          </cell>
          <cell r="E39">
            <v>3.293169673192823E-2</v>
          </cell>
          <cell r="F39">
            <v>3.9662066796877289E-2</v>
          </cell>
          <cell r="G39">
            <v>8.4511692811543247E-5</v>
          </cell>
        </row>
        <row r="40">
          <cell r="E40">
            <v>4.1226985106052987E-2</v>
          </cell>
          <cell r="F40">
            <v>6.3078743363491133E-2</v>
          </cell>
          <cell r="G40">
            <v>1.0847210587316191E-4</v>
          </cell>
        </row>
        <row r="41">
          <cell r="E41">
            <v>4.9633076110753183E-2</v>
          </cell>
          <cell r="F41">
            <v>2.8876530483404713E-2</v>
          </cell>
          <cell r="G41">
            <v>1.5165305617263752E-4</v>
          </cell>
        </row>
        <row r="42">
          <cell r="E42">
            <v>5.802962771830622E-2</v>
          </cell>
          <cell r="F42">
            <v>3.8920718708471247E-2</v>
          </cell>
          <cell r="G42">
            <v>4.3351525671541607E-5</v>
          </cell>
        </row>
        <row r="43">
          <cell r="E43">
            <v>6.6555482608294192E-2</v>
          </cell>
          <cell r="F43">
            <v>2.3754927818440158E-2</v>
          </cell>
          <cell r="G43">
            <v>2.0244061216683945E-5</v>
          </cell>
        </row>
        <row r="44">
          <cell r="E44">
            <v>7.5082245673011319E-2</v>
          </cell>
          <cell r="F44">
            <v>3.8302633587163952E-2</v>
          </cell>
          <cell r="G44">
            <v>3.6612076649969745E-5</v>
          </cell>
        </row>
        <row r="65">
          <cell r="K65">
            <v>4.0381800399162255</v>
          </cell>
          <cell r="L65">
            <v>3.0841924847732702</v>
          </cell>
          <cell r="M65">
            <v>2.5559110167439218</v>
          </cell>
        </row>
        <row r="66">
          <cell r="B66">
            <v>2.980406294613493</v>
          </cell>
          <cell r="C66">
            <v>3.9320011646473603</v>
          </cell>
          <cell r="D66">
            <v>4.9982627153001609</v>
          </cell>
          <cell r="E66">
            <v>5.9313906768279558</v>
          </cell>
          <cell r="F66">
            <v>6.3384934680403653</v>
          </cell>
          <cell r="G66">
            <v>6.3356835395515487</v>
          </cell>
          <cell r="H66">
            <v>6.0504903286833489</v>
          </cell>
          <cell r="I66">
            <v>5.5982880324319</v>
          </cell>
          <cell r="J66">
            <v>4.9108811822380618</v>
          </cell>
        </row>
      </sheetData>
      <sheetData sheetId="1"/>
      <sheetData sheetId="2"/>
      <sheetData sheetId="3">
        <row r="1">
          <cell r="Q1">
            <v>8.0000000000000002E-3</v>
          </cell>
        </row>
        <row r="5">
          <cell r="U5">
            <v>5.0000000000000001E-3</v>
          </cell>
        </row>
      </sheetData>
      <sheetData sheetId="4">
        <row r="10">
          <cell r="U10">
            <v>0.5</v>
          </cell>
        </row>
        <row r="11">
          <cell r="D11">
            <v>10.654230512674076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5">
        <row r="10">
          <cell r="U10">
            <v>0.5</v>
          </cell>
        </row>
        <row r="11">
          <cell r="D11">
            <v>98.77463814363</v>
          </cell>
          <cell r="O11">
            <v>7.0000000000000007E-2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6">
        <row r="10">
          <cell r="U10">
            <v>0.5</v>
          </cell>
        </row>
        <row r="11">
          <cell r="D11">
            <v>185.50430684100138</v>
          </cell>
          <cell r="O11">
            <v>0.115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7">
        <row r="10">
          <cell r="U10">
            <v>0.5</v>
          </cell>
        </row>
        <row r="11">
          <cell r="D11">
            <v>274.86827197253479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8">
        <row r="10">
          <cell r="U10">
            <v>0.5</v>
          </cell>
        </row>
        <row r="11">
          <cell r="D11">
            <v>364.47232747548878</v>
          </cell>
          <cell r="O11">
            <v>0.12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9">
        <row r="10">
          <cell r="U10">
            <v>0.5</v>
          </cell>
        </row>
        <row r="11">
          <cell r="D11">
            <v>442.13024859849975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133">
          <cell r="O133">
            <v>5.792795987325506E-2</v>
          </cell>
        </row>
        <row r="379">
          <cell r="Q379">
            <v>0.5</v>
          </cell>
        </row>
      </sheetData>
      <sheetData sheetId="10">
        <row r="10">
          <cell r="U10">
            <v>0.5</v>
          </cell>
        </row>
        <row r="11">
          <cell r="D11">
            <v>546.87431531959373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1">
        <row r="10">
          <cell r="U10">
            <v>0.5</v>
          </cell>
        </row>
        <row r="11">
          <cell r="D11">
            <v>626.92029293258747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2">
        <row r="10">
          <cell r="U10">
            <v>0.5</v>
          </cell>
        </row>
        <row r="11">
          <cell r="D11">
            <v>724.33216718225412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3">
        <row r="10">
          <cell r="U10">
            <v>0.5</v>
          </cell>
        </row>
        <row r="11">
          <cell r="D11">
            <v>798.29225175458851</v>
          </cell>
          <cell r="O11">
            <v>0.11</v>
          </cell>
        </row>
        <row r="12">
          <cell r="L12">
            <v>0</v>
          </cell>
          <cell r="O12">
            <v>1095</v>
          </cell>
        </row>
        <row r="379">
          <cell r="Q379">
            <v>0.5</v>
          </cell>
        </row>
      </sheetData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Labège maternell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43340</v>
          </cell>
        </row>
        <row r="11">
          <cell r="C11">
            <v>33.012472000524284</v>
          </cell>
          <cell r="D11">
            <v>14.510032535976114</v>
          </cell>
        </row>
        <row r="12">
          <cell r="C12">
            <v>575.07137572209467</v>
          </cell>
          <cell r="D12">
            <v>53.007798701651765</v>
          </cell>
        </row>
        <row r="13">
          <cell r="C13">
            <v>992.19515441245949</v>
          </cell>
          <cell r="D13">
            <v>16.873442787422082</v>
          </cell>
        </row>
        <row r="14">
          <cell r="C14">
            <v>608.24314989811069</v>
          </cell>
          <cell r="D14">
            <v>49.561038207770075</v>
          </cell>
          <cell r="H14">
            <v>660.7180930718655</v>
          </cell>
          <cell r="I14">
            <v>83.134218171671705</v>
          </cell>
          <cell r="K14">
            <v>44307</v>
          </cell>
        </row>
        <row r="15">
          <cell r="C15">
            <v>1021.0171620185799</v>
          </cell>
          <cell r="D15">
            <v>18.831205611628359</v>
          </cell>
          <cell r="H15">
            <v>612.42266055988853</v>
          </cell>
          <cell r="I15">
            <v>63.649355556299085</v>
          </cell>
          <cell r="K15" t="str">
            <v/>
          </cell>
        </row>
        <row r="16">
          <cell r="C16">
            <v>1401.5899832146465</v>
          </cell>
          <cell r="D16">
            <v>43.98652075143378</v>
          </cell>
          <cell r="H16">
            <v>394.36123432197246</v>
          </cell>
          <cell r="I16">
            <v>75.814845878485158</v>
          </cell>
        </row>
        <row r="17">
          <cell r="C17">
            <v>664.5160659565073</v>
          </cell>
          <cell r="D17">
            <v>87.315172209802398</v>
          </cell>
          <cell r="H17">
            <v>994.1565262450423</v>
          </cell>
          <cell r="I17">
            <v>81.260759881005555</v>
          </cell>
        </row>
        <row r="18">
          <cell r="C18">
            <v>847.6248401122208</v>
          </cell>
          <cell r="D18">
            <v>130.63793754103833</v>
          </cell>
          <cell r="H18">
            <v>844.3629861892199</v>
          </cell>
          <cell r="I18">
            <v>87.773756461369544</v>
          </cell>
        </row>
        <row r="19">
          <cell r="C19">
            <v>540.66388899829474</v>
          </cell>
          <cell r="D19">
            <v>187.04999807773842</v>
          </cell>
          <cell r="H19">
            <v>810.5464149738649</v>
          </cell>
          <cell r="I19">
            <v>95.63521109291483</v>
          </cell>
        </row>
        <row r="20">
          <cell r="C20">
            <v>817.95903644571661</v>
          </cell>
          <cell r="D20">
            <v>236.64850270614056</v>
          </cell>
          <cell r="H20">
            <v>592.79038417359345</v>
          </cell>
          <cell r="I20">
            <v>100.60544187069502</v>
          </cell>
        </row>
        <row r="32">
          <cell r="M32">
            <v>2</v>
          </cell>
          <cell r="N32">
            <v>688.37379999128234</v>
          </cell>
          <cell r="O32">
            <v>7.9688487026982002E-2</v>
          </cell>
        </row>
        <row r="35">
          <cell r="E35">
            <v>1.6458224044681514E-3</v>
          </cell>
          <cell r="F35">
            <v>1.3078589487783501E-2</v>
          </cell>
          <cell r="G35">
            <v>5.6741248073261946E-3</v>
          </cell>
        </row>
        <row r="36">
          <cell r="E36">
            <v>7.6073903967093714E-3</v>
          </cell>
          <cell r="F36">
            <v>5.469328384139921E-2</v>
          </cell>
          <cell r="G36">
            <v>4.7780923933976498E-3</v>
          </cell>
        </row>
        <row r="37">
          <cell r="E37">
            <v>1.9897094110880215E-2</v>
          </cell>
          <cell r="F37">
            <v>9.9958663397224992E-2</v>
          </cell>
          <cell r="G37">
            <v>1.5426454339860583E-3</v>
          </cell>
        </row>
        <row r="38">
          <cell r="E38">
            <v>3.6751097312847009E-2</v>
          </cell>
          <cell r="F38">
            <v>6.0469147073106723E-2</v>
          </cell>
          <cell r="G38">
            <v>4.636495295182395E-3</v>
          </cell>
          <cell r="L38">
            <v>9.5363472841258151E-2</v>
          </cell>
        </row>
        <row r="39">
          <cell r="C39">
            <v>0.12249576515385144</v>
          </cell>
          <cell r="E39">
            <v>5.0450141408478283E-2</v>
          </cell>
          <cell r="F39">
            <v>0.10553047200462641</v>
          </cell>
          <cell r="G39">
            <v>1.7521278204901995E-3</v>
          </cell>
        </row>
        <row r="40">
          <cell r="E40">
            <v>6.5906263224592171E-2</v>
          </cell>
          <cell r="F40">
            <v>0.15222052654672394</v>
          </cell>
          <cell r="G40">
            <v>4.110278415943777E-3</v>
          </cell>
        </row>
        <row r="41">
          <cell r="E41">
            <v>7.5298151563747931E-2</v>
          </cell>
          <cell r="F41">
            <v>6.6888419085404466E-2</v>
          </cell>
          <cell r="G41">
            <v>8.1991864771610457E-3</v>
          </cell>
        </row>
        <row r="42">
          <cell r="E42">
            <v>8.4596420802285063E-2</v>
          </cell>
          <cell r="F42">
            <v>8.7930993475526395E-2</v>
          </cell>
          <cell r="G42">
            <v>1.237219966084438E-2</v>
          </cell>
        </row>
        <row r="43">
          <cell r="E43">
            <v>9.4128618633835967E-2</v>
          </cell>
          <cell r="F43">
            <v>5.4726557304590022E-2</v>
          </cell>
          <cell r="G43">
            <v>1.786375029184728E-2</v>
          </cell>
        </row>
        <row r="44">
          <cell r="E44">
            <v>0.10360471195812342</v>
          </cell>
          <cell r="F44">
            <v>8.6375008187878785E-2</v>
          </cell>
          <cell r="G44">
            <v>2.2814857327727641E-2</v>
          </cell>
        </row>
        <row r="65">
          <cell r="K65">
            <v>2.8087083768300731</v>
          </cell>
          <cell r="L65">
            <v>1.9117321431685792</v>
          </cell>
          <cell r="M65">
            <v>1.5950445262729123</v>
          </cell>
        </row>
        <row r="66">
          <cell r="B66">
            <v>1.9680966853179527</v>
          </cell>
          <cell r="C66">
            <v>2.7658786020972794</v>
          </cell>
          <cell r="D66">
            <v>3.8651709671301879</v>
          </cell>
          <cell r="E66">
            <v>4.954417167122755</v>
          </cell>
          <cell r="F66">
            <v>5.5047249056446397</v>
          </cell>
          <cell r="G66">
            <v>5.531686048448976</v>
          </cell>
          <cell r="H66">
            <v>5.2389507117866962</v>
          </cell>
          <cell r="I66">
            <v>4.6831719123619706</v>
          </cell>
          <cell r="J66">
            <v>3.7452544101520622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1.7999999999999999E-2</v>
          </cell>
        </row>
      </sheetData>
      <sheetData sheetId="4">
        <row r="10">
          <cell r="U10">
            <v>0.6</v>
          </cell>
        </row>
        <row r="11">
          <cell r="D11">
            <v>4.1474955007734025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0.8</v>
          </cell>
        </row>
      </sheetData>
      <sheetData sheetId="5">
        <row r="10">
          <cell r="U10">
            <v>0.6</v>
          </cell>
        </row>
        <row r="11">
          <cell r="D11">
            <v>79.38384149174999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0.8</v>
          </cell>
        </row>
      </sheetData>
      <sheetData sheetId="6">
        <row r="10">
          <cell r="U10">
            <v>0.6</v>
          </cell>
        </row>
        <row r="11">
          <cell r="D11">
            <v>193.6466379014837</v>
          </cell>
          <cell r="O11">
            <v>0.17</v>
          </cell>
        </row>
        <row r="12">
          <cell r="L12">
            <v>1.1111111111111112E-2</v>
          </cell>
          <cell r="O12">
            <v>912.5</v>
          </cell>
        </row>
        <row r="379">
          <cell r="Q379">
            <v>0.8</v>
          </cell>
        </row>
      </sheetData>
      <sheetData sheetId="7">
        <row r="10">
          <cell r="U10">
            <v>0.60000000000000009</v>
          </cell>
        </row>
        <row r="11">
          <cell r="D11">
            <v>356.56539381578477</v>
          </cell>
          <cell r="O11">
            <v>0.23</v>
          </cell>
        </row>
        <row r="12">
          <cell r="L12">
            <v>1.1111111111111112E-2</v>
          </cell>
          <cell r="O12">
            <v>912.5</v>
          </cell>
        </row>
        <row r="379">
          <cell r="Q379">
            <v>0.8</v>
          </cell>
        </row>
      </sheetData>
      <sheetData sheetId="8">
        <row r="10">
          <cell r="U10">
            <v>0.60000000000000009</v>
          </cell>
        </row>
        <row r="11">
          <cell r="D11">
            <v>464.66729413232497</v>
          </cell>
          <cell r="O11">
            <v>0.23</v>
          </cell>
        </row>
        <row r="12">
          <cell r="L12">
            <v>2.1111111111111112E-2</v>
          </cell>
          <cell r="O12">
            <v>912.5</v>
          </cell>
        </row>
        <row r="379">
          <cell r="Q379">
            <v>0.8</v>
          </cell>
        </row>
      </sheetData>
      <sheetData sheetId="9">
        <row r="10">
          <cell r="U10">
            <v>0.6</v>
          </cell>
        </row>
        <row r="11">
          <cell r="D11">
            <v>569.31868770173605</v>
          </cell>
          <cell r="O11">
            <v>0.2</v>
          </cell>
        </row>
        <row r="12">
          <cell r="L12">
            <v>2.1111111111111112E-2</v>
          </cell>
          <cell r="O12">
            <v>912.5</v>
          </cell>
        </row>
        <row r="133">
          <cell r="O133">
            <v>0.13332763632037983</v>
          </cell>
        </row>
        <row r="379">
          <cell r="Q379">
            <v>0.8</v>
          </cell>
        </row>
      </sheetData>
      <sheetData sheetId="10">
        <row r="10">
          <cell r="U10">
            <v>0.60000000000000009</v>
          </cell>
        </row>
        <row r="11">
          <cell r="D11">
            <v>695.68072353085881</v>
          </cell>
          <cell r="O11">
            <v>0.2</v>
          </cell>
        </row>
        <row r="12">
          <cell r="L12">
            <v>2.1111111111111112E-2</v>
          </cell>
          <cell r="O12">
            <v>912.5</v>
          </cell>
        </row>
        <row r="379">
          <cell r="Q379">
            <v>0.8</v>
          </cell>
        </row>
      </sheetData>
      <sheetData sheetId="11">
        <row r="10">
          <cell r="U10">
            <v>0.60000000000000009</v>
          </cell>
        </row>
        <row r="11">
          <cell r="D11">
            <v>751.87477958648378</v>
          </cell>
          <cell r="O11">
            <v>0.2</v>
          </cell>
        </row>
        <row r="12">
          <cell r="L12">
            <v>2.1111111111111112E-2</v>
          </cell>
          <cell r="O12">
            <v>912.5</v>
          </cell>
        </row>
        <row r="379">
          <cell r="Q379">
            <v>0.8</v>
          </cell>
        </row>
      </sheetData>
      <sheetData sheetId="12">
        <row r="10">
          <cell r="U10">
            <v>0.60000000000000009</v>
          </cell>
        </row>
        <row r="11">
          <cell r="D11">
            <v>849.92879429235654</v>
          </cell>
          <cell r="O11">
            <v>0.2</v>
          </cell>
        </row>
        <row r="12">
          <cell r="L12">
            <v>2.1111111111111112E-2</v>
          </cell>
          <cell r="O12">
            <v>912.5</v>
          </cell>
        </row>
        <row r="379">
          <cell r="Q379">
            <v>0.8</v>
          </cell>
        </row>
      </sheetData>
      <sheetData sheetId="13">
        <row r="10">
          <cell r="U10">
            <v>0.60000000000000009</v>
          </cell>
        </row>
        <row r="11">
          <cell r="D11">
            <v>889.01566724582153</v>
          </cell>
          <cell r="O11">
            <v>0.2</v>
          </cell>
        </row>
        <row r="12">
          <cell r="L12">
            <v>2.1111111111111112E-2</v>
          </cell>
          <cell r="O12">
            <v>912.5</v>
          </cell>
        </row>
        <row r="379">
          <cell r="Q379">
            <v>0.8</v>
          </cell>
        </row>
      </sheetData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Escalquens crêche v41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43354</v>
          </cell>
        </row>
        <row r="11">
          <cell r="C11">
            <v>24.420032290291541</v>
          </cell>
          <cell r="D11">
            <v>0.29159888076333462</v>
          </cell>
        </row>
        <row r="12">
          <cell r="C12">
            <v>601.13820574501779</v>
          </cell>
          <cell r="D12">
            <v>1.617449027860302</v>
          </cell>
        </row>
        <row r="13">
          <cell r="C13">
            <v>1052.335449772987</v>
          </cell>
          <cell r="D13">
            <v>2.7814559108141137</v>
          </cell>
        </row>
        <row r="14">
          <cell r="C14">
            <v>618.6689035315336</v>
          </cell>
          <cell r="D14">
            <v>4.2146380529732044</v>
          </cell>
          <cell r="H14">
            <v>715.47833690747836</v>
          </cell>
          <cell r="I14">
            <v>-0.29237109502494407</v>
          </cell>
          <cell r="K14">
            <v>44306</v>
          </cell>
        </row>
        <row r="15">
          <cell r="C15">
            <v>983.35663543557212</v>
          </cell>
          <cell r="D15">
            <v>5.7501134260136242</v>
          </cell>
          <cell r="H15">
            <v>691.52360911592677</v>
          </cell>
          <cell r="I15">
            <v>-0.38478662776655437</v>
          </cell>
          <cell r="K15" t="str">
            <v/>
          </cell>
        </row>
        <row r="16">
          <cell r="C16">
            <v>602.09598150062595</v>
          </cell>
          <cell r="D16">
            <v>7.7405210745535484</v>
          </cell>
          <cell r="H16">
            <v>867.02250302333698</v>
          </cell>
          <cell r="I16">
            <v>-0.62841110070755413</v>
          </cell>
        </row>
        <row r="17">
          <cell r="C17">
            <v>895.79588528929253</v>
          </cell>
          <cell r="D17">
            <v>9.4093565511440236</v>
          </cell>
          <cell r="H17">
            <v>680.2174657834687</v>
          </cell>
          <cell r="I17">
            <v>-0.62159364105042414</v>
          </cell>
        </row>
        <row r="18">
          <cell r="C18">
            <v>579.13263267529294</v>
          </cell>
          <cell r="D18">
            <v>3.6846280548703958</v>
          </cell>
          <cell r="H18">
            <v>817.61801872755075</v>
          </cell>
          <cell r="I18">
            <v>7.2979267739821658</v>
          </cell>
        </row>
        <row r="19">
          <cell r="C19">
            <v>880.41823354571852</v>
          </cell>
          <cell r="D19">
            <v>1.5038038159316161</v>
          </cell>
          <cell r="H19">
            <v>635.73541333866069</v>
          </cell>
          <cell r="I19">
            <v>11.412654080871214</v>
          </cell>
        </row>
        <row r="20">
          <cell r="C20">
            <v>569.41615752972882</v>
          </cell>
          <cell r="D20">
            <v>2.7634404816783995</v>
          </cell>
          <cell r="H20">
            <v>796.74549205173673</v>
          </cell>
          <cell r="I20">
            <v>12.809612659976167</v>
          </cell>
        </row>
        <row r="32">
          <cell r="M32">
            <v>2</v>
          </cell>
          <cell r="N32">
            <v>693.83095899541468</v>
          </cell>
          <cell r="O32">
            <v>7.0001222491576587E-2</v>
          </cell>
        </row>
        <row r="35">
          <cell r="E35">
            <v>2.2574174806909626E-3</v>
          </cell>
          <cell r="F35">
            <v>1.7658570172236029E-2</v>
          </cell>
          <cell r="G35">
            <v>2.0719346269517224E-4</v>
          </cell>
        </row>
        <row r="36">
          <cell r="E36">
            <v>7.6340505023062251E-3</v>
          </cell>
          <cell r="F36">
            <v>5.4861483830057303E-2</v>
          </cell>
          <cell r="G36">
            <v>1.3988011857535033E-4</v>
          </cell>
        </row>
        <row r="37">
          <cell r="E37">
            <v>1.6222190251212267E-2</v>
          </cell>
          <cell r="F37">
            <v>0.10048154472285574</v>
          </cell>
          <cell r="G37">
            <v>2.4097873419266335E-4</v>
          </cell>
        </row>
        <row r="38">
          <cell r="E38">
            <v>2.4984557883716511E-2</v>
          </cell>
          <cell r="F38">
            <v>5.8568994388270339E-2</v>
          </cell>
          <cell r="G38">
            <v>3.7640090516053489E-4</v>
          </cell>
          <cell r="L38">
            <v>9.5265982743073477E-2</v>
          </cell>
        </row>
        <row r="39">
          <cell r="C39">
            <v>0.10212546462124136</v>
          </cell>
          <cell r="E39">
            <v>3.3332076055731241E-2</v>
          </cell>
          <cell r="F39">
            <v>9.150835972314636E-2</v>
          </cell>
          <cell r="G39">
            <v>4.8886297070358637E-4</v>
          </cell>
        </row>
        <row r="40">
          <cell r="E40">
            <v>4.2599419210042545E-2</v>
          </cell>
          <cell r="F40">
            <v>5.4088959422383433E-2</v>
          </cell>
          <cell r="G40">
            <v>6.582449441285993E-4</v>
          </cell>
        </row>
        <row r="41">
          <cell r="E41">
            <v>5.1436455727775755E-2</v>
          </cell>
          <cell r="F41">
            <v>8.2729150530739606E-2</v>
          </cell>
          <cell r="G41">
            <v>7.9944041197932869E-4</v>
          </cell>
        </row>
        <row r="42">
          <cell r="E42">
            <v>6.0485918730768674E-2</v>
          </cell>
          <cell r="F42">
            <v>5.1933982117341217E-2</v>
          </cell>
          <cell r="G42">
            <v>3.131726327538643E-4</v>
          </cell>
        </row>
        <row r="43">
          <cell r="E43">
            <v>6.9471243231570876E-2</v>
          </cell>
          <cell r="F43">
            <v>8.131370579688188E-2</v>
          </cell>
          <cell r="G43">
            <v>1.2777658567610122E-4</v>
          </cell>
        </row>
        <row r="44">
          <cell r="E44">
            <v>7.8654163530002125E-2</v>
          </cell>
          <cell r="F44">
            <v>5.1055840868942375E-2</v>
          </cell>
          <cell r="G44">
            <v>2.3484635883382098E-4</v>
          </cell>
        </row>
        <row r="65">
          <cell r="K65">
            <v>3.2992679094897639</v>
          </cell>
          <cell r="L65">
            <v>2.3108184040330242</v>
          </cell>
          <cell r="M65">
            <v>1.8641624189385739</v>
          </cell>
        </row>
        <row r="66">
          <cell r="B66">
            <v>2.1640662548622478</v>
          </cell>
          <cell r="C66">
            <v>3.0349251305785767</v>
          </cell>
          <cell r="D66">
            <v>4.2233426959218461</v>
          </cell>
          <cell r="E66">
            <v>5.4116298001518039</v>
          </cell>
          <cell r="F66">
            <v>6.5841630496719983</v>
          </cell>
          <cell r="G66">
            <v>6.6361100558380519</v>
          </cell>
          <cell r="H66">
            <v>6.366299371512131</v>
          </cell>
          <cell r="I66">
            <v>5.7460288592424789</v>
          </cell>
          <cell r="J66">
            <v>4.7204847773137173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1.7999999999999999E-2</v>
          </cell>
        </row>
      </sheetData>
      <sheetData sheetId="4">
        <row r="10">
          <cell r="U10">
            <v>0.40000000000000013</v>
          </cell>
        </row>
        <row r="11">
          <cell r="D11">
            <v>3.1147507785951802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5">
        <row r="10">
          <cell r="U10">
            <v>0.40000000000000013</v>
          </cell>
        </row>
        <row r="11">
          <cell r="D11">
            <v>83.01545922456171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6">
        <row r="10">
          <cell r="U10">
            <v>0.40000000000000013</v>
          </cell>
        </row>
        <row r="11">
          <cell r="D11">
            <v>167.18169118171863</v>
          </cell>
          <cell r="O11">
            <v>0.17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7">
        <row r="10">
          <cell r="U10">
            <v>0.40000000000000013</v>
          </cell>
        </row>
        <row r="11">
          <cell r="D11">
            <v>257.48080975731318</v>
          </cell>
          <cell r="O11">
            <v>0.2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8">
        <row r="10">
          <cell r="U10">
            <v>0.40000000000000013</v>
          </cell>
        </row>
        <row r="11">
          <cell r="D11">
            <v>346.63525833777385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9">
        <row r="10">
          <cell r="U10">
            <v>0.40000000000000008</v>
          </cell>
        </row>
        <row r="11">
          <cell r="D11">
            <v>454.82392490551501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133">
          <cell r="O133">
            <v>0.11276994136905134</v>
          </cell>
        </row>
        <row r="379">
          <cell r="Q379">
            <v>0.7</v>
          </cell>
        </row>
      </sheetData>
      <sheetData sheetId="10">
        <row r="10">
          <cell r="U10">
            <v>0.39999999999999991</v>
          </cell>
        </row>
        <row r="11">
          <cell r="D11">
            <v>529.71040385975357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1">
        <row r="10">
          <cell r="U10">
            <v>0.39999999999999991</v>
          </cell>
        </row>
        <row r="11">
          <cell r="D11">
            <v>636.02734564273487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2">
        <row r="10">
          <cell r="U10">
            <v>0.4</v>
          </cell>
        </row>
        <row r="11">
          <cell r="D11">
            <v>703.33338692122925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3">
        <row r="10">
          <cell r="U10">
            <v>0.4</v>
          </cell>
        </row>
        <row r="11">
          <cell r="D11">
            <v>813.24957641056062</v>
          </cell>
          <cell r="O11">
            <v>0.18</v>
          </cell>
        </row>
        <row r="12">
          <cell r="L12">
            <v>0</v>
          </cell>
          <cell r="O12">
            <v>912.5</v>
          </cell>
        </row>
        <row r="379">
          <cell r="Q379">
            <v>0.7</v>
          </cell>
        </row>
      </sheetData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ICEA Prod Ayguesvives crêche v4"/>
    </sheetNames>
    <definedNames>
      <definedName name="Df" refersTo="='2018'!$Q$379" sheetId="4"/>
      <definedName name="Df" refersTo="='2019'!$Q$379" sheetId="5"/>
      <definedName name="Df" refersTo="='2020'!$Q$379" sheetId="6"/>
      <definedName name="Df" refersTo="='2021'!$Q$379" sheetId="7"/>
      <definedName name="Df" refersTo="='2022'!$Q$379" sheetId="8"/>
      <definedName name="Df" refersTo="='2023'!$Q$379" sheetId="9"/>
      <definedName name="Df" refersTo="='2024'!$Q$379" sheetId="10"/>
      <definedName name="Df" refersTo="='2025'!$Q$379" sheetId="11"/>
      <definedName name="Df" refersTo="='2026'!$Q$379" sheetId="12"/>
      <definedName name="Df" refersTo="='2027'!$Q$379" sheetId="13"/>
      <definedName name="PertePVan" refersTo="='Réglage perte'!$Q$1"/>
      <definedName name="PousH" refersTo="='2018'!$U$10" sheetId="4"/>
      <definedName name="PousH" refersTo="='2019'!$U$10" sheetId="5"/>
      <definedName name="PousH" refersTo="='2020'!$U$10" sheetId="6"/>
      <definedName name="PousH" refersTo="='2021'!$U$10" sheetId="7"/>
      <definedName name="PousH" refersTo="='2022'!$U$10" sheetId="8"/>
      <definedName name="PousH" refersTo="='2023'!$U$10" sheetId="9"/>
      <definedName name="PousH" refersTo="='2024'!$U$10" sheetId="10"/>
      <definedName name="PousH" refersTo="='2025'!$U$10" sheetId="11"/>
      <definedName name="PousH" refersTo="='2026'!$U$10" sheetId="12"/>
      <definedName name="PousH" refersTo="='2027'!$U$10" sheetId="13"/>
      <definedName name="Pspv" refersTo="='2018'!$L$12" sheetId="4"/>
      <definedName name="Pspv" refersTo="='2019'!$L$12" sheetId="5"/>
      <definedName name="Pspv" refersTo="='2020'!$L$12" sheetId="6"/>
      <definedName name="Pspv" refersTo="='2021'!$L$12" sheetId="7"/>
      <definedName name="Pspv" refersTo="='2022'!$L$12" sheetId="8"/>
      <definedName name="Pspv" refersTo="='2023'!$L$12" sheetId="9"/>
      <definedName name="Pspv" refersTo="='2024'!$L$12" sheetId="10"/>
      <definedName name="Pspv" refersTo="='2025'!$L$12" sheetId="11"/>
      <definedName name="Pspv" refersTo="='2026'!$L$12" sheetId="12"/>
      <definedName name="Pspv" refersTo="='2027'!$L$12" sheetId="13"/>
      <definedName name="Salim" refersTo="='2018'!$O$11" sheetId="4"/>
      <definedName name="Salim" refersTo="='2019'!$O$11" sheetId="5"/>
      <definedName name="Salim" refersTo="='2020'!$O$11" sheetId="6"/>
      <definedName name="Salim" refersTo="='2021'!$O$11" sheetId="7"/>
      <definedName name="Salim" refersTo="='2022'!$O$11" sheetId="8"/>
      <definedName name="Salim" refersTo="='2023'!$O$11" sheetId="9"/>
      <definedName name="Salim" refersTo="='2024'!$O$11" sheetId="10"/>
      <definedName name="Salim" refersTo="='2025'!$O$11" sheetId="11"/>
      <definedName name="Salim" refersTo="='2026'!$O$11" sheetId="12"/>
      <definedName name="Salim" refersTo="='2027'!$O$11" sheetId="13"/>
      <definedName name="Tau_j" refersTo="='2018'!$O$12" sheetId="4"/>
      <definedName name="Tau_j" refersTo="='2019'!$O$12" sheetId="5"/>
      <definedName name="Tau_j" refersTo="='2020'!$O$12" sheetId="6"/>
      <definedName name="Tau_j" refersTo="='2021'!$O$12" sheetId="7"/>
      <definedName name="Tau_j" refersTo="='2022'!$O$12" sheetId="8"/>
      <definedName name="Tau_j" refersTo="='2023'!$O$12" sheetId="9"/>
      <definedName name="Tau_j" refersTo="='2024'!$O$12" sheetId="10"/>
      <definedName name="Tau_j" refersTo="='2025'!$O$12" sheetId="11"/>
      <definedName name="Tau_j" refersTo="='2026'!$O$12" sheetId="12"/>
      <definedName name="Tau_j" refersTo="='2027'!$O$12" sheetId="13"/>
      <definedName name="Wh_Ppv" refersTo="='2018'!$D$11" sheetId="4"/>
      <definedName name="Wh_Ppv" refersTo="='2019'!$D$11" sheetId="5"/>
      <definedName name="Wh_Ppv" refersTo="='2020'!$D$11" sheetId="6"/>
      <definedName name="Wh_Ppv" refersTo="='2021'!$D$11" sheetId="7"/>
      <definedName name="Wh_Ppv" refersTo="='2022'!$D$11" sheetId="8"/>
      <definedName name="Wh_Ppv" refersTo="='2023'!$D$11" sheetId="9"/>
      <definedName name="Wh_Ppv" refersTo="='2024'!$D$11" sheetId="10"/>
      <definedName name="Wh_Ppv" refersTo="='2025'!$D$11" sheetId="11"/>
      <definedName name="Wh_Ppv" refersTo="='2026'!$D$11" sheetId="12"/>
      <definedName name="Wh_Ppv" refersTo="='2027'!$D$11" sheetId="13"/>
    </definedNames>
    <sheetDataSet>
      <sheetData sheetId="0">
        <row r="4">
          <cell r="C4">
            <v>43313</v>
          </cell>
        </row>
        <row r="5">
          <cell r="C5">
            <v>43354</v>
          </cell>
        </row>
        <row r="11">
          <cell r="C11">
            <v>30.231542956362031</v>
          </cell>
          <cell r="D11">
            <v>4.3641226392145338</v>
          </cell>
        </row>
        <row r="12">
          <cell r="C12">
            <v>752.83976071819734</v>
          </cell>
          <cell r="D12">
            <v>19.247998604648451</v>
          </cell>
        </row>
        <row r="13">
          <cell r="C13">
            <v>1254.8570700330306</v>
          </cell>
          <cell r="D13">
            <v>39.134222916327836</v>
          </cell>
        </row>
        <row r="14">
          <cell r="C14">
            <v>829.68153110089884</v>
          </cell>
          <cell r="D14">
            <v>61.525349808578653</v>
          </cell>
          <cell r="H14">
            <v>658.58802689882259</v>
          </cell>
          <cell r="I14">
            <v>-4.0991204228131082</v>
          </cell>
          <cell r="K14">
            <v>44306</v>
          </cell>
        </row>
        <row r="15">
          <cell r="C15">
            <v>1332.513927471857</v>
          </cell>
          <cell r="D15">
            <v>90.919867244884784</v>
          </cell>
          <cell r="H15">
            <v>452.26827703952813</v>
          </cell>
          <cell r="I15">
            <v>-4.2493365285623383</v>
          </cell>
          <cell r="K15">
            <v>44854</v>
          </cell>
        </row>
        <row r="16">
          <cell r="C16">
            <v>783.43436576866236</v>
          </cell>
          <cell r="D16">
            <v>129.15685783639898</v>
          </cell>
          <cell r="H16">
            <v>1005.0368561613833</v>
          </cell>
          <cell r="I16">
            <v>-12.781077411353209</v>
          </cell>
        </row>
        <row r="17">
          <cell r="C17">
            <v>641.83461473031821</v>
          </cell>
          <cell r="D17">
            <v>173.13847877616277</v>
          </cell>
          <cell r="H17">
            <v>876.32221398759475</v>
          </cell>
          <cell r="I17">
            <v>-14.951481506683763</v>
          </cell>
        </row>
        <row r="18">
          <cell r="C18">
            <v>1073.1270213794428</v>
          </cell>
          <cell r="D18">
            <v>81.625800353609833</v>
          </cell>
          <cell r="H18">
            <v>618.37495722786957</v>
          </cell>
          <cell r="I18">
            <v>121.43259291448197</v>
          </cell>
        </row>
        <row r="19">
          <cell r="C19">
            <v>701.05621578851992</v>
          </cell>
          <cell r="D19">
            <v>19.562186154156937</v>
          </cell>
          <cell r="H19">
            <v>910.13454961487855</v>
          </cell>
          <cell r="I19">
            <v>236.8267189239024</v>
          </cell>
        </row>
        <row r="20">
          <cell r="C20">
            <v>1058.2640986000511</v>
          </cell>
          <cell r="D20">
            <v>37.976926550608241</v>
          </cell>
          <cell r="H20">
            <v>712.85596820331557</v>
          </cell>
          <cell r="I20">
            <v>265.11372568633357</v>
          </cell>
        </row>
        <row r="32">
          <cell r="M32">
            <v>2</v>
          </cell>
          <cell r="N32">
            <v>832.8645423455738</v>
          </cell>
          <cell r="O32">
            <v>8.1994887800479352E-2</v>
          </cell>
        </row>
        <row r="35">
          <cell r="E35">
            <v>2.2617185136911489E-3</v>
          </cell>
          <cell r="F35">
            <v>2.2103890041251059E-2</v>
          </cell>
          <cell r="G35">
            <v>3.1216848880448013E-3</v>
          </cell>
        </row>
        <row r="36">
          <cell r="E36">
            <v>7.610457035857404E-3</v>
          </cell>
          <cell r="F36">
            <v>6.939554420740672E-2</v>
          </cell>
          <cell r="G36">
            <v>1.6582951036481883E-3</v>
          </cell>
        </row>
        <row r="37">
          <cell r="E37">
            <v>1.6190377660076076E-2</v>
          </cell>
          <cell r="F37">
            <v>0.12538011900709539</v>
          </cell>
          <cell r="G37">
            <v>3.4682406213009079E-3</v>
          </cell>
        </row>
        <row r="38">
          <cell r="E38">
            <v>2.4963679292763781E-2</v>
          </cell>
          <cell r="F38">
            <v>8.1942584275258884E-2</v>
          </cell>
          <cell r="G38">
            <v>5.60567327824253E-3</v>
          </cell>
          <cell r="L38">
            <v>0.10249727570237151</v>
          </cell>
        </row>
        <row r="39">
          <cell r="C39">
            <v>3.7054416556526928E-2</v>
          </cell>
          <cell r="E39">
            <v>3.3335860331915448E-2</v>
          </cell>
          <cell r="F39">
            <v>0.13209975019025294</v>
          </cell>
          <cell r="G39">
            <v>7.9308235864891732E-3</v>
          </cell>
        </row>
        <row r="40">
          <cell r="E40">
            <v>4.2494640742911545E-2</v>
          </cell>
          <cell r="F40">
            <v>7.398457611035586E-2</v>
          </cell>
          <cell r="G40">
            <v>1.132370418857786E-2</v>
          </cell>
        </row>
        <row r="41">
          <cell r="E41">
            <v>5.1449251752074904E-2</v>
          </cell>
          <cell r="F41">
            <v>6.0157163039219544E-2</v>
          </cell>
          <cell r="G41">
            <v>1.5262353826757709E-2</v>
          </cell>
        </row>
        <row r="42">
          <cell r="E42">
            <v>6.0438109359871879E-2</v>
          </cell>
          <cell r="F42">
            <v>0.10367829988133177</v>
          </cell>
          <cell r="G42">
            <v>7.1049815867502784E-3</v>
          </cell>
        </row>
        <row r="43">
          <cell r="E43">
            <v>6.9516347385678953E-2</v>
          </cell>
          <cell r="F43">
            <v>6.4662647515104241E-2</v>
          </cell>
          <cell r="G43">
            <v>1.6876261002373618E-3</v>
          </cell>
        </row>
        <row r="44">
          <cell r="E44">
            <v>7.8560723953711969E-2</v>
          </cell>
          <cell r="F44">
            <v>0.10160586512646878</v>
          </cell>
          <cell r="G44">
            <v>3.2861148727158871E-3</v>
          </cell>
        </row>
        <row r="65">
          <cell r="K65">
            <v>3.0849450173893818</v>
          </cell>
          <cell r="L65">
            <v>2.2272161294296389</v>
          </cell>
          <cell r="M65">
            <v>1.7059313466855124</v>
          </cell>
        </row>
        <row r="66">
          <cell r="B66">
            <v>2.07951474263088</v>
          </cell>
          <cell r="C66">
            <v>3.0945347980089748</v>
          </cell>
          <cell r="D66">
            <v>4.4312858271110489</v>
          </cell>
          <cell r="E66">
            <v>5.6705709615981137</v>
          </cell>
          <cell r="F66">
            <v>6.3053679513301173</v>
          </cell>
          <cell r="G66">
            <v>6.3497615215731651</v>
          </cell>
          <cell r="H66">
            <v>6.0587460553558472</v>
          </cell>
          <cell r="I66">
            <v>5.4551723690504197</v>
          </cell>
          <cell r="J66">
            <v>4.4251575631381819</v>
          </cell>
        </row>
      </sheetData>
      <sheetData sheetId="1"/>
      <sheetData sheetId="2"/>
      <sheetData sheetId="3">
        <row r="1">
          <cell r="Q1">
            <v>8.5000000000000006E-3</v>
          </cell>
        </row>
        <row r="5">
          <cell r="U5">
            <v>2.5000000000000001E-2</v>
          </cell>
        </row>
      </sheetData>
      <sheetData sheetId="4">
        <row r="10">
          <cell r="U10">
            <v>0.70000000000000018</v>
          </cell>
        </row>
        <row r="11">
          <cell r="D11">
            <v>3.0863772712791615</v>
          </cell>
          <cell r="O11">
            <v>0.21</v>
          </cell>
        </row>
        <row r="12">
          <cell r="L12">
            <v>0</v>
          </cell>
          <cell r="O12">
            <v>912.5</v>
          </cell>
        </row>
        <row r="379">
          <cell r="Q379">
            <v>0.9</v>
          </cell>
        </row>
      </sheetData>
      <sheetData sheetId="5">
        <row r="10">
          <cell r="U10">
            <v>0.70000000000000018</v>
          </cell>
        </row>
        <row r="11">
          <cell r="D11">
            <v>81.938693449063067</v>
          </cell>
          <cell r="O11">
            <v>0.21</v>
          </cell>
        </row>
        <row r="12">
          <cell r="L12">
            <v>0</v>
          </cell>
          <cell r="O12">
            <v>912.5</v>
          </cell>
        </row>
        <row r="379">
          <cell r="Q379">
            <v>0.9</v>
          </cell>
        </row>
      </sheetData>
      <sheetData sheetId="6">
        <row r="10">
          <cell r="U10">
            <v>0.70000000000000018</v>
          </cell>
        </row>
        <row r="11">
          <cell r="D11">
            <v>159.45843053011595</v>
          </cell>
          <cell r="O11">
            <v>0.14000000000000001</v>
          </cell>
        </row>
        <row r="12">
          <cell r="L12">
            <v>0</v>
          </cell>
          <cell r="O12">
            <v>365</v>
          </cell>
        </row>
        <row r="379">
          <cell r="Q379">
            <v>0.9</v>
          </cell>
        </row>
      </sheetData>
      <sheetData sheetId="7">
        <row r="10">
          <cell r="U10">
            <v>0.60022433765500383</v>
          </cell>
        </row>
        <row r="11">
          <cell r="D11">
            <v>246.60500400489036</v>
          </cell>
          <cell r="O11">
            <v>0.17</v>
          </cell>
        </row>
        <row r="12">
          <cell r="L12">
            <v>0</v>
          </cell>
          <cell r="O12">
            <v>365</v>
          </cell>
        </row>
        <row r="379">
          <cell r="Q379">
            <v>0.9</v>
          </cell>
        </row>
      </sheetData>
      <sheetData sheetId="8">
        <row r="10">
          <cell r="U10">
            <v>0.60022433765500383</v>
          </cell>
        </row>
        <row r="11">
          <cell r="D11">
            <v>325.41676796126012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379">
          <cell r="Q379">
            <v>0.9</v>
          </cell>
        </row>
      </sheetData>
      <sheetData sheetId="9">
        <row r="10">
          <cell r="U10">
            <v>0.60022433765500394</v>
          </cell>
        </row>
        <row r="11">
          <cell r="D11">
            <v>431.64007493498502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133">
          <cell r="O133">
            <v>6.0272280640767367E-2</v>
          </cell>
        </row>
        <row r="379">
          <cell r="Q379">
            <v>0.9</v>
          </cell>
        </row>
      </sheetData>
      <sheetData sheetId="10">
        <row r="10">
          <cell r="U10">
            <v>0.7</v>
          </cell>
        </row>
        <row r="11">
          <cell r="D11">
            <v>522.06735187380582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379">
          <cell r="Q379">
            <v>0.9</v>
          </cell>
        </row>
      </sheetData>
      <sheetData sheetId="11">
        <row r="10">
          <cell r="U10">
            <v>0.7</v>
          </cell>
        </row>
        <row r="11">
          <cell r="D11">
            <v>589.91414110498408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379">
          <cell r="Q379">
            <v>0.9</v>
          </cell>
        </row>
      </sheetData>
      <sheetData sheetId="12">
        <row r="10">
          <cell r="U10">
            <v>0.7</v>
          </cell>
        </row>
        <row r="11">
          <cell r="D11">
            <v>704.6912513135776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379">
          <cell r="Q379">
            <v>0.9</v>
          </cell>
        </row>
      </sheetData>
      <sheetData sheetId="13">
        <row r="10">
          <cell r="U10">
            <v>0.7</v>
          </cell>
        </row>
        <row r="11">
          <cell r="D11">
            <v>758.64073903104509</v>
          </cell>
          <cell r="O11">
            <v>0.22</v>
          </cell>
        </row>
        <row r="12">
          <cell r="L12">
            <v>0</v>
          </cell>
          <cell r="O12">
            <v>912.5</v>
          </cell>
        </row>
        <row r="379">
          <cell r="Q379">
            <v>0.9</v>
          </cell>
        </row>
      </sheetData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Noueilles SdF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43475</v>
          </cell>
        </row>
        <row r="5">
          <cell r="C5">
            <v>43522</v>
          </cell>
        </row>
        <row r="11">
          <cell r="C11">
            <v>129.71298858848573</v>
          </cell>
          <cell r="D11">
            <v>3.2119337313975511</v>
          </cell>
        </row>
        <row r="12">
          <cell r="C12">
            <v>366.89761327029095</v>
          </cell>
          <cell r="D12">
            <v>13.216261839278481</v>
          </cell>
        </row>
        <row r="13">
          <cell r="C13">
            <v>521.02846258409818</v>
          </cell>
          <cell r="D13">
            <v>21.123916244870063</v>
          </cell>
          <cell r="K13" t="str">
            <v/>
          </cell>
        </row>
        <row r="14">
          <cell r="C14">
            <v>370.34528678474152</v>
          </cell>
          <cell r="D14">
            <v>38.390500227800452</v>
          </cell>
          <cell r="H14">
            <v>626.17509933172119</v>
          </cell>
          <cell r="I14">
            <v>0.20405025969142798</v>
          </cell>
          <cell r="K14">
            <v>44683</v>
          </cell>
        </row>
        <row r="15">
          <cell r="C15">
            <v>372.57200922752202</v>
          </cell>
          <cell r="D15">
            <v>54.895981462206471</v>
          </cell>
          <cell r="H15">
            <v>628.90211055994621</v>
          </cell>
          <cell r="I15">
            <v>-0.42830619172006834</v>
          </cell>
        </row>
        <row r="16">
          <cell r="C16">
            <v>252.66334395232218</v>
          </cell>
          <cell r="D16">
            <v>74.114754347727697</v>
          </cell>
          <cell r="H16">
            <v>411.84491815858883</v>
          </cell>
          <cell r="I16">
            <v>0.74418745304076594</v>
          </cell>
        </row>
        <row r="17">
          <cell r="C17">
            <v>366.30137558999587</v>
          </cell>
          <cell r="D17">
            <v>95.212614382442325</v>
          </cell>
          <cell r="H17">
            <v>281.46687145833613</v>
          </cell>
          <cell r="I17">
            <v>1.5344431309027442</v>
          </cell>
        </row>
        <row r="18">
          <cell r="C18">
            <v>248.59720444503657</v>
          </cell>
          <cell r="D18">
            <v>42.419645565598685</v>
          </cell>
          <cell r="H18">
            <v>335.23775893536185</v>
          </cell>
          <cell r="I18">
            <v>76.68568249733255</v>
          </cell>
        </row>
        <row r="19">
          <cell r="C19">
            <v>365.34324102073992</v>
          </cell>
          <cell r="D19">
            <v>14.240524870115232</v>
          </cell>
          <cell r="H19">
            <v>273.23400945457229</v>
          </cell>
          <cell r="I19">
            <v>130.87973948365808</v>
          </cell>
        </row>
        <row r="20">
          <cell r="H20">
            <v>326.61134750165223</v>
          </cell>
        </row>
        <row r="32">
          <cell r="M32">
            <v>2</v>
          </cell>
          <cell r="N32">
            <v>297.91001565292231</v>
          </cell>
          <cell r="O32">
            <v>2.6960206732437757E-2</v>
          </cell>
        </row>
        <row r="35">
          <cell r="E35">
            <v>3.5596165102353854E-3</v>
          </cell>
          <cell r="F35">
            <v>1.2866445097281678E-2</v>
          </cell>
          <cell r="G35">
            <v>3.1453563875371454E-4</v>
          </cell>
        </row>
        <row r="36">
          <cell r="E36">
            <v>1.0208704922166845E-2</v>
          </cell>
          <cell r="F36">
            <v>3.2107379766274258E-2</v>
          </cell>
          <cell r="G36">
            <v>1.1202264653585653E-3</v>
          </cell>
        </row>
        <row r="37">
          <cell r="E37">
            <v>1.7346618992825434E-2</v>
          </cell>
          <cell r="F37">
            <v>4.7782205151160759E-2</v>
          </cell>
          <cell r="G37">
            <v>1.8474161716085652E-3</v>
          </cell>
        </row>
        <row r="38">
          <cell r="C38">
            <v>2.2343082207069716E-2</v>
          </cell>
          <cell r="E38">
            <v>2.3948552408587873E-2</v>
          </cell>
          <cell r="F38">
            <v>3.1507888155670037E-2</v>
          </cell>
          <cell r="G38">
            <v>3.1640702108862539E-3</v>
          </cell>
          <cell r="L38">
            <v>7.724890312007289E-2</v>
          </cell>
        </row>
        <row r="39">
          <cell r="E39">
            <v>3.1717085110119093E-2</v>
          </cell>
          <cell r="F39">
            <v>3.178538648959349E-2</v>
          </cell>
          <cell r="G39">
            <v>4.5346557147276506E-3</v>
          </cell>
        </row>
        <row r="40">
          <cell r="E40">
            <v>3.8982867925448007E-2</v>
          </cell>
          <cell r="F40">
            <v>2.1358984842367583E-2</v>
          </cell>
          <cell r="G40">
            <v>6.1292978391206928E-3</v>
          </cell>
        </row>
        <row r="41">
          <cell r="E41">
            <v>4.6268917712895277E-2</v>
          </cell>
          <cell r="F41">
            <v>3.1431843857374735E-2</v>
          </cell>
          <cell r="G41">
            <v>7.909942753469023E-3</v>
          </cell>
        </row>
        <row r="42">
          <cell r="E42">
            <v>5.3655673324016821E-2</v>
          </cell>
          <cell r="F42">
            <v>2.0952725664757348E-2</v>
          </cell>
          <cell r="G42">
            <v>3.4980637830448122E-3</v>
          </cell>
        </row>
        <row r="43">
          <cell r="E43">
            <v>6.1016492717409741E-2</v>
          </cell>
          <cell r="F43">
            <v>3.1003944317529782E-2</v>
          </cell>
          <cell r="G43">
            <v>1.1699987555565637E-3</v>
          </cell>
        </row>
        <row r="64">
          <cell r="K64">
            <v>4.2602929523656945</v>
          </cell>
          <cell r="L64">
            <v>3.3278065910854853</v>
          </cell>
          <cell r="M64">
            <v>2.7130394363885131</v>
          </cell>
        </row>
        <row r="65">
          <cell r="B65">
            <v>3.1569443170547582</v>
          </cell>
          <cell r="C65">
            <v>4.2138916151366237</v>
          </cell>
          <cell r="D65">
            <v>5.319299766190654</v>
          </cell>
          <cell r="E65">
            <v>6.1255577064444218</v>
          </cell>
          <cell r="F65">
            <v>6.4353350195416406</v>
          </cell>
          <cell r="G65">
            <v>6.4152904974597922</v>
          </cell>
          <cell r="H65">
            <v>6.1119784047586752</v>
          </cell>
          <cell r="I65">
            <v>5.6519657137823085</v>
          </cell>
          <cell r="J65">
            <v>5.0352585642690642</v>
          </cell>
        </row>
      </sheetData>
      <sheetData sheetId="1"/>
      <sheetData sheetId="2"/>
      <sheetData sheetId="3">
        <row r="1">
          <cell r="Q1">
            <v>7.0000000000000001E-3</v>
          </cell>
        </row>
      </sheetData>
      <sheetData sheetId="4">
        <row r="10">
          <cell r="U10">
            <v>0.4</v>
          </cell>
        </row>
        <row r="11">
          <cell r="D11">
            <v>35.758964163449491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5">
        <row r="10">
          <cell r="U10">
            <v>0.4</v>
          </cell>
        </row>
        <row r="11">
          <cell r="D11">
            <v>115.47808310310756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6">
        <row r="10">
          <cell r="U10">
            <v>0.4</v>
          </cell>
        </row>
        <row r="11">
          <cell r="D11">
            <v>185.92643981699075</v>
          </cell>
          <cell r="O11">
            <v>0.14000000000000001</v>
          </cell>
        </row>
        <row r="12">
          <cell r="L12">
            <v>0</v>
          </cell>
          <cell r="O12">
            <v>365</v>
          </cell>
        </row>
        <row r="379">
          <cell r="Q379">
            <v>0.7</v>
          </cell>
        </row>
      </sheetData>
      <sheetData sheetId="7">
        <row r="10">
          <cell r="U10">
            <v>0.4</v>
          </cell>
        </row>
        <row r="11">
          <cell r="D11">
            <v>274.90880984406976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8">
        <row r="10">
          <cell r="U10">
            <v>0.39999999999999997</v>
          </cell>
        </row>
        <row r="11">
          <cell r="D11">
            <v>360.34240474428407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133">
          <cell r="O133">
            <v>2.8566667055035411E-2</v>
          </cell>
        </row>
        <row r="379">
          <cell r="Q379">
            <v>0.7</v>
          </cell>
        </row>
      </sheetData>
      <sheetData sheetId="9">
        <row r="10">
          <cell r="U10">
            <v>0.39999999999999991</v>
          </cell>
        </row>
        <row r="11">
          <cell r="D11">
            <v>443.84060584033796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0">
        <row r="10">
          <cell r="U10">
            <v>0.40000000000000013</v>
          </cell>
        </row>
        <row r="11">
          <cell r="D11">
            <v>515.3647479314277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1">
        <row r="10">
          <cell r="U10">
            <v>0.40000000000000013</v>
          </cell>
        </row>
        <row r="11">
          <cell r="D11">
            <v>604.18877586662893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2">
        <row r="10">
          <cell r="U10">
            <v>0.4</v>
          </cell>
        </row>
        <row r="11">
          <cell r="D11">
            <v>677.65591671252878</v>
          </cell>
          <cell r="O11">
            <v>0.08</v>
          </cell>
        </row>
        <row r="12">
          <cell r="L12">
            <v>0</v>
          </cell>
          <cell r="O12">
            <v>1095</v>
          </cell>
        </row>
        <row r="379">
          <cell r="Q379">
            <v>0.7</v>
          </cell>
        </row>
      </sheetData>
      <sheetData sheetId="13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Masques"/>
      <sheetName val="Models"/>
      <sheetName val="Réglage perte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ICEA Prod Escalquens MdS v41"/>
    </sheetNames>
    <definedNames>
      <definedName name="Df" refersTo="='2019'!$Q$379" sheetId="4"/>
      <definedName name="Df" refersTo="='2020'!$Q$379" sheetId="5"/>
      <definedName name="Df" refersTo="='2021'!$Q$379" sheetId="6"/>
      <definedName name="Df" refersTo="='2022'!$Q$379" sheetId="7"/>
      <definedName name="Df" refersTo="='2023'!$Q$379" sheetId="8"/>
      <definedName name="Df" refersTo="='2024'!$Q$379" sheetId="9"/>
      <definedName name="Df" refersTo="='2025'!$Q$379" sheetId="10"/>
      <definedName name="Df" refersTo="='2026'!$Q$379" sheetId="11"/>
      <definedName name="Df" refersTo="='2027'!$Q$379" sheetId="12"/>
      <definedName name="PertePVan" refersTo="='Réglage perte'!$Q$1"/>
      <definedName name="PousH" refersTo="='2019'!$U$10" sheetId="4"/>
      <definedName name="PousH" refersTo="='2020'!$U$10" sheetId="5"/>
      <definedName name="PousH" refersTo="='2021'!$U$10" sheetId="6"/>
      <definedName name="PousH" refersTo="='2022'!$U$10" sheetId="7"/>
      <definedName name="PousH" refersTo="='2023'!$U$10" sheetId="8"/>
      <definedName name="PousH" refersTo="='2024'!$U$10" sheetId="9"/>
      <definedName name="PousH" refersTo="='2025'!$U$10" sheetId="10"/>
      <definedName name="PousH" refersTo="='2026'!$U$10" sheetId="11"/>
      <definedName name="PousH" refersTo="='2027'!$U$10" sheetId="12"/>
      <definedName name="Pspv" refersTo="='2019'!$L$12" sheetId="4"/>
      <definedName name="Pspv" refersTo="='2020'!$L$12" sheetId="5"/>
      <definedName name="Pspv" refersTo="='2021'!$L$12" sheetId="6"/>
      <definedName name="Pspv" refersTo="='2022'!$L$12" sheetId="7"/>
      <definedName name="Pspv" refersTo="='2023'!$L$12" sheetId="8"/>
      <definedName name="Pspv" refersTo="='2024'!$L$12" sheetId="9"/>
      <definedName name="Pspv" refersTo="='2025'!$L$12" sheetId="10"/>
      <definedName name="Pspv" refersTo="='2026'!$L$12" sheetId="11"/>
      <definedName name="Pspv" refersTo="='2027'!$L$12" sheetId="12"/>
      <definedName name="Salim" refersTo="='2019'!$O$11" sheetId="4"/>
      <definedName name="Salim" refersTo="='2020'!$O$11" sheetId="5"/>
      <definedName name="Salim" refersTo="='2021'!$O$11" sheetId="6"/>
      <definedName name="Salim" refersTo="='2022'!$O$11" sheetId="7"/>
      <definedName name="Salim" refersTo="='2023'!$O$11" sheetId="8"/>
      <definedName name="Salim" refersTo="='2024'!$O$11" sheetId="9"/>
      <definedName name="Salim" refersTo="='2025'!$O$11" sheetId="10"/>
      <definedName name="Salim" refersTo="='2026'!$O$11" sheetId="11"/>
      <definedName name="Salim" refersTo="='2027'!$O$11" sheetId="12"/>
      <definedName name="Tau_j" refersTo="='2019'!$O$12" sheetId="4"/>
      <definedName name="Tau_j" refersTo="='2020'!$O$12" sheetId="5"/>
      <definedName name="Tau_j" refersTo="='2021'!$O$12" sheetId="6"/>
      <definedName name="Tau_j" refersTo="='2022'!$O$12" sheetId="7"/>
      <definedName name="Tau_j" refersTo="='2023'!$O$12" sheetId="8"/>
      <definedName name="Tau_j" refersTo="='2024'!$O$12" sheetId="9"/>
      <definedName name="Tau_j" refersTo="='2025'!$O$12" sheetId="10"/>
      <definedName name="Tau_j" refersTo="='2026'!$O$12" sheetId="11"/>
      <definedName name="Tau_j" refersTo="='2027'!$O$12" sheetId="12"/>
      <definedName name="Wh_Ppv" refersTo="='2019'!$D$11" sheetId="4"/>
      <definedName name="Wh_Ppv" refersTo="='2020'!$D$11" sheetId="5"/>
      <definedName name="Wh_Ppv" refersTo="='2021'!$D$11" sheetId="6"/>
      <definedName name="Wh_Ppv" refersTo="='2022'!$D$11" sheetId="7"/>
      <definedName name="Wh_Ppv" refersTo="='2023'!$D$11" sheetId="8"/>
      <definedName name="Wh_Ppv" refersTo="='2024'!$D$11" sheetId="9"/>
      <definedName name="Wh_Ppv" refersTo="='2025'!$D$11" sheetId="10"/>
      <definedName name="Wh_Ppv" refersTo="='2026'!$D$11" sheetId="11"/>
      <definedName name="Wh_Ppv" refersTo="='2027'!$D$11" sheetId="12"/>
    </definedNames>
    <sheetDataSet>
      <sheetData sheetId="0">
        <row r="4">
          <cell r="C4">
            <v>43481</v>
          </cell>
        </row>
        <row r="5">
          <cell r="C5">
            <v>43476</v>
          </cell>
        </row>
        <row r="11">
          <cell r="C11">
            <v>160.22566753486308</v>
          </cell>
          <cell r="D11">
            <v>0.60385858000374271</v>
          </cell>
        </row>
        <row r="12">
          <cell r="C12">
            <v>461.22295909605776</v>
          </cell>
          <cell r="D12">
            <v>2.2236812290549581</v>
          </cell>
        </row>
        <row r="13">
          <cell r="C13">
            <v>744.45236324571476</v>
          </cell>
          <cell r="D13">
            <v>4.0582267976677597</v>
          </cell>
          <cell r="K13" t="str">
            <v/>
          </cell>
        </row>
        <row r="14">
          <cell r="C14">
            <v>420.422114565426</v>
          </cell>
          <cell r="D14">
            <v>7.0923332059072832</v>
          </cell>
          <cell r="H14">
            <v>620.93310326220058</v>
          </cell>
          <cell r="I14">
            <v>-0.3839533258578065</v>
          </cell>
          <cell r="K14">
            <v>44683</v>
          </cell>
        </row>
        <row r="15">
          <cell r="C15">
            <v>471.61614147544458</v>
          </cell>
          <cell r="D15">
            <v>10.085689591429711</v>
          </cell>
          <cell r="H15">
            <v>620.62595436341815</v>
          </cell>
          <cell r="I15">
            <v>-0.54890714132683627</v>
          </cell>
        </row>
        <row r="16">
          <cell r="C16">
            <v>318.36283647833534</v>
          </cell>
          <cell r="D16">
            <v>13.854373674588581</v>
          </cell>
          <cell r="H16">
            <v>486.8038679459429</v>
          </cell>
          <cell r="I16">
            <v>-0.58723881059800043</v>
          </cell>
        </row>
        <row r="17">
          <cell r="C17">
            <v>465.92144393799981</v>
          </cell>
          <cell r="D17">
            <v>17.392129885482568</v>
          </cell>
          <cell r="H17">
            <v>358.11069391900639</v>
          </cell>
          <cell r="I17">
            <v>-0.55450378290463576</v>
          </cell>
        </row>
        <row r="18">
          <cell r="C18">
            <v>312.45462438789599</v>
          </cell>
          <cell r="D18">
            <v>6.9837291165411166</v>
          </cell>
          <cell r="H18">
            <v>428.84920350574788</v>
          </cell>
          <cell r="I18">
            <v>14.267553361673155</v>
          </cell>
        </row>
        <row r="19">
          <cell r="C19">
            <v>460.41996331761078</v>
          </cell>
          <cell r="D19">
            <v>2.2252050869718207</v>
          </cell>
          <cell r="H19">
            <v>352.39330271929128</v>
          </cell>
          <cell r="I19">
            <v>23.402720044289033</v>
          </cell>
        </row>
        <row r="20">
          <cell r="H20">
            <v>422.24795009399332</v>
          </cell>
        </row>
        <row r="32">
          <cell r="M32">
            <v>2</v>
          </cell>
          <cell r="N32">
            <v>384.75895068749111</v>
          </cell>
          <cell r="O32">
            <v>3.4765067197101145E-2</v>
          </cell>
        </row>
        <row r="35">
          <cell r="E35">
            <v>3.4223456565418034E-3</v>
          </cell>
          <cell r="F35">
            <v>1.5565898553265435E-2</v>
          </cell>
          <cell r="G35">
            <v>5.7762563325848303E-5</v>
          </cell>
        </row>
        <row r="36">
          <cell r="E36">
            <v>1.0094932119871306E-2</v>
          </cell>
          <cell r="F36">
            <v>4.0132050151129466E-2</v>
          </cell>
          <cell r="G36">
            <v>1.859496458260074E-4</v>
          </cell>
        </row>
        <row r="37">
          <cell r="E37">
            <v>1.72241640195442E-2</v>
          </cell>
          <cell r="F37">
            <v>6.7892504425883932E-2</v>
          </cell>
          <cell r="G37">
            <v>3.4619307806434271E-4</v>
          </cell>
        </row>
        <row r="38">
          <cell r="C38">
            <v>2.7928852758837143E-2</v>
          </cell>
          <cell r="E38">
            <v>2.404548100932373E-2</v>
          </cell>
          <cell r="F38">
            <v>3.555038745152693E-2</v>
          </cell>
          <cell r="G38">
            <v>5.7865315866421473E-4</v>
          </cell>
          <cell r="L38">
            <v>7.5356069233591422E-2</v>
          </cell>
        </row>
        <row r="39">
          <cell r="E39">
            <v>3.1596971231931885E-2</v>
          </cell>
          <cell r="F39">
            <v>4.0086113650051408E-2</v>
          </cell>
          <cell r="G39">
            <v>8.2321454909825109E-4</v>
          </cell>
        </row>
        <row r="40">
          <cell r="E40">
            <v>3.8867715310512613E-2</v>
          </cell>
          <cell r="F40">
            <v>2.6681600304808421E-2</v>
          </cell>
          <cell r="G40">
            <v>1.1298015511237436E-3</v>
          </cell>
        </row>
        <row r="41">
          <cell r="E41">
            <v>4.6150306403850538E-2</v>
          </cell>
          <cell r="F41">
            <v>3.9646627677721008E-2</v>
          </cell>
          <cell r="G41">
            <v>1.4210092942616515E-3</v>
          </cell>
        </row>
        <row r="42">
          <cell r="E42">
            <v>5.3522717800201257E-2</v>
          </cell>
          <cell r="F42">
            <v>2.6195451984212619E-2</v>
          </cell>
          <cell r="G42">
            <v>5.6977486210819733E-4</v>
          </cell>
        </row>
        <row r="43">
          <cell r="E43">
            <v>6.0890712336908209E-2</v>
          </cell>
          <cell r="F43">
            <v>3.9098485202545483E-2</v>
          </cell>
          <cell r="G43">
            <v>1.8143673452294411E-4</v>
          </cell>
        </row>
        <row r="64">
          <cell r="K64">
            <v>4.2189113682191133</v>
          </cell>
          <cell r="L64">
            <v>3.1469166228296213</v>
          </cell>
          <cell r="M64">
            <v>2.5787510049751856</v>
          </cell>
        </row>
        <row r="65">
          <cell r="B65">
            <v>2.993923094437037</v>
          </cell>
          <cell r="C65">
            <v>4.0506214220537258</v>
          </cell>
          <cell r="D65">
            <v>5.2165737194931738</v>
          </cell>
          <cell r="E65">
            <v>6.2110341947264169</v>
          </cell>
          <cell r="F65">
            <v>6.6078559421467009</v>
          </cell>
          <cell r="G65">
            <v>6.5595615294737302</v>
          </cell>
          <cell r="H65">
            <v>6.319415855523089</v>
          </cell>
          <cell r="I65">
            <v>5.875782754360813</v>
          </cell>
          <cell r="J65">
            <v>5.1392261642962778</v>
          </cell>
        </row>
      </sheetData>
      <sheetData sheetId="1"/>
      <sheetData sheetId="2"/>
      <sheetData sheetId="3">
        <row r="1">
          <cell r="Q1">
            <v>7.0000000000000001E-3</v>
          </cell>
        </row>
        <row r="5">
          <cell r="U5">
            <v>0.01</v>
          </cell>
        </row>
      </sheetData>
      <sheetData sheetId="4">
        <row r="10">
          <cell r="U10">
            <v>0.5</v>
          </cell>
        </row>
        <row r="11">
          <cell r="D11">
            <v>35.107345778133094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5">
        <row r="10">
          <cell r="U10">
            <v>0.5</v>
          </cell>
        </row>
        <row r="11">
          <cell r="D11">
            <v>114.8578763951009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6">
        <row r="10">
          <cell r="U10">
            <v>0.5</v>
          </cell>
        </row>
        <row r="11">
          <cell r="D11">
            <v>185.66778992785657</v>
          </cell>
          <cell r="O11">
            <v>0.15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7">
        <row r="10">
          <cell r="U10">
            <v>0.5</v>
          </cell>
        </row>
        <row r="11">
          <cell r="D11">
            <v>277.68692906999786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8">
        <row r="10">
          <cell r="U10">
            <v>0.5</v>
          </cell>
        </row>
        <row r="11">
          <cell r="D11">
            <v>360.35462775598717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133">
          <cell r="O133">
            <v>3.5708333818794263E-2</v>
          </cell>
        </row>
        <row r="379">
          <cell r="Q379">
            <v>0.6</v>
          </cell>
        </row>
      </sheetData>
      <sheetData sheetId="9">
        <row r="10">
          <cell r="U10">
            <v>0.5</v>
          </cell>
        </row>
        <row r="11">
          <cell r="D11">
            <v>446.41548876689558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0">
        <row r="10">
          <cell r="U10">
            <v>0.5</v>
          </cell>
        </row>
        <row r="11">
          <cell r="D11">
            <v>518.42620888119382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1">
        <row r="10">
          <cell r="U10">
            <v>0.5</v>
          </cell>
        </row>
        <row r="11">
          <cell r="D11">
            <v>605.97584574379471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2">
        <row r="10">
          <cell r="U10">
            <v>0.5</v>
          </cell>
        </row>
        <row r="11">
          <cell r="D11">
            <v>675.88782199072193</v>
          </cell>
          <cell r="O11">
            <v>0.1</v>
          </cell>
        </row>
        <row r="12">
          <cell r="L12">
            <v>0</v>
          </cell>
          <cell r="O12">
            <v>1095</v>
          </cell>
        </row>
        <row r="379">
          <cell r="Q379">
            <v>0.6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tabSelected="1" workbookViewId="0">
      <selection activeCell="A2" sqref="A2"/>
    </sheetView>
  </sheetViews>
  <sheetFormatPr baseColWidth="10" defaultRowHeight="15" x14ac:dyDescent="0.25"/>
  <cols>
    <col min="1" max="1" width="32" style="300" customWidth="1"/>
    <col min="2" max="2" width="10.85546875" style="4" bestFit="1" customWidth="1"/>
    <col min="3" max="3" width="0" style="426" hidden="1" customWidth="1"/>
    <col min="4" max="5" width="11.42578125" style="404"/>
    <col min="6" max="6" width="0" style="404" hidden="1" customWidth="1"/>
    <col min="7" max="7" width="11.42578125" style="404"/>
    <col min="8" max="8" width="11.42578125" style="427"/>
    <col min="9" max="16384" width="11.42578125" style="300"/>
  </cols>
  <sheetData>
    <row r="2" spans="1:22" ht="15.75" x14ac:dyDescent="0.25">
      <c r="A2" s="403" t="s">
        <v>109</v>
      </c>
      <c r="D2" s="433" t="s">
        <v>114</v>
      </c>
      <c r="E2" s="434"/>
      <c r="F2" s="410" t="s">
        <v>112</v>
      </c>
      <c r="G2" s="410" t="s">
        <v>112</v>
      </c>
      <c r="H2" s="445" t="s">
        <v>115</v>
      </c>
    </row>
    <row r="3" spans="1:22" x14ac:dyDescent="0.25">
      <c r="A3" s="405" t="s">
        <v>24</v>
      </c>
      <c r="B3" s="408" t="s">
        <v>111</v>
      </c>
      <c r="C3" s="428" t="s">
        <v>110</v>
      </c>
      <c r="D3" s="417">
        <v>2021</v>
      </c>
      <c r="E3" s="417">
        <v>2022</v>
      </c>
      <c r="F3" s="409" t="s">
        <v>113</v>
      </c>
      <c r="G3" s="409" t="s">
        <v>117</v>
      </c>
      <c r="H3" s="446">
        <v>2023</v>
      </c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</row>
    <row r="4" spans="1:22" x14ac:dyDescent="0.25">
      <c r="A4" s="406" t="s">
        <v>5</v>
      </c>
      <c r="B4" s="411">
        <f>[1]Recap!$C$4</f>
        <v>43209</v>
      </c>
      <c r="C4" s="412">
        <f>[1]Recap!$C$5</f>
        <v>43249</v>
      </c>
      <c r="D4" s="420">
        <f>[1]Recap!$K$14</f>
        <v>44306</v>
      </c>
      <c r="E4" s="421" t="str">
        <f>[1]Recap!$K$15</f>
        <v/>
      </c>
      <c r="F4" s="432">
        <f>[1]Recap!$C$39</f>
        <v>9.3172112867404011E-2</v>
      </c>
      <c r="G4" s="449">
        <f>'[1]2023'!$O$133</f>
        <v>0.10274501027396959</v>
      </c>
      <c r="H4" s="447">
        <f>[1]Recap!$K$40</f>
        <v>45046</v>
      </c>
    </row>
    <row r="5" spans="1:22" x14ac:dyDescent="0.25">
      <c r="A5" s="407" t="s">
        <v>6</v>
      </c>
      <c r="B5" s="413">
        <f>[2]Recap!$C$4</f>
        <v>43243</v>
      </c>
      <c r="C5" s="414">
        <f>[2]Recap!$C$5</f>
        <v>43272</v>
      </c>
      <c r="D5" s="422">
        <f>[2]Recap!$K$14</f>
        <v>44306</v>
      </c>
      <c r="E5" s="423" t="str">
        <f>[2]Recap!$K$15</f>
        <v/>
      </c>
      <c r="F5" s="431">
        <f>[2]Recap!$C$39</f>
        <v>0.10173339612084951</v>
      </c>
      <c r="G5" s="429">
        <f>'[2]2023'!$O$133</f>
        <v>0.10891380728034514</v>
      </c>
      <c r="H5" s="448" t="s">
        <v>116</v>
      </c>
    </row>
    <row r="6" spans="1:22" x14ac:dyDescent="0.25">
      <c r="A6" s="407" t="s">
        <v>7</v>
      </c>
      <c r="B6" s="413">
        <f>[3]Recap!$C$4</f>
        <v>43250</v>
      </c>
      <c r="C6" s="414">
        <f>[3]Recap!$C$5</f>
        <v>43297</v>
      </c>
      <c r="D6" s="422">
        <f>[3]Recap!$K$14</f>
        <v>44306</v>
      </c>
      <c r="E6" s="423" t="str">
        <f>[3]Recap!$K$15</f>
        <v/>
      </c>
      <c r="F6" s="431">
        <f>[3]Recap!$C$39</f>
        <v>5.4012454682629565E-2</v>
      </c>
      <c r="G6" s="429">
        <f>'[3]2023'!$O$133</f>
        <v>6.0048870093341276E-2</v>
      </c>
      <c r="H6" s="418"/>
    </row>
    <row r="7" spans="1:22" x14ac:dyDescent="0.25">
      <c r="A7" s="407" t="s">
        <v>8</v>
      </c>
      <c r="B7" s="413">
        <f>[4]Recap!$C$4</f>
        <v>43259</v>
      </c>
      <c r="C7" s="414">
        <f>[4]Recap!$C$5</f>
        <v>43301</v>
      </c>
      <c r="D7" s="422">
        <f>[4]Recap!$K$14</f>
        <v>44307</v>
      </c>
      <c r="E7" s="423" t="str">
        <f>[4]Recap!$K$15</f>
        <v/>
      </c>
      <c r="F7" s="431">
        <f>[4]Recap!$C$39</f>
        <v>5.1297728120770582E-2</v>
      </c>
      <c r="G7" s="429">
        <f>'[4]2023'!$O$133</f>
        <v>5.792795987325506E-2</v>
      </c>
      <c r="H7" s="418"/>
    </row>
    <row r="8" spans="1:22" x14ac:dyDescent="0.25">
      <c r="A8" s="407" t="s">
        <v>9</v>
      </c>
      <c r="B8" s="413">
        <f>[5]Recap!$C$4</f>
        <v>43313</v>
      </c>
      <c r="C8" s="414">
        <f>[5]Recap!$C$5</f>
        <v>43340</v>
      </c>
      <c r="D8" s="422">
        <f>[5]Recap!$K$14</f>
        <v>44307</v>
      </c>
      <c r="E8" s="423" t="str">
        <f>[5]Recap!$K$15</f>
        <v/>
      </c>
      <c r="F8" s="431">
        <f>[5]Recap!$C$39</f>
        <v>0.12249576515385144</v>
      </c>
      <c r="G8" s="429">
        <f>'[5]2023'!$O$133</f>
        <v>0.13332763632037983</v>
      </c>
      <c r="H8" s="418"/>
    </row>
    <row r="9" spans="1:22" x14ac:dyDescent="0.25">
      <c r="A9" s="407" t="s">
        <v>10</v>
      </c>
      <c r="B9" s="413">
        <f>[6]Recap!$C$4</f>
        <v>43313</v>
      </c>
      <c r="C9" s="414">
        <f>[6]Recap!$C$5</f>
        <v>43354</v>
      </c>
      <c r="D9" s="422">
        <f>[6]Recap!$K$14</f>
        <v>44306</v>
      </c>
      <c r="E9" s="423" t="str">
        <f>[6]Recap!$K$15</f>
        <v/>
      </c>
      <c r="F9" s="431">
        <f>[6]Recap!$C$39</f>
        <v>0.10212546462124136</v>
      </c>
      <c r="G9" s="429">
        <f>'[6]2023'!$O$133</f>
        <v>0.11276994136905134</v>
      </c>
      <c r="H9" s="418"/>
    </row>
    <row r="10" spans="1:22" x14ac:dyDescent="0.25">
      <c r="A10" s="407" t="s">
        <v>11</v>
      </c>
      <c r="B10" s="413">
        <f>[7]Recap!$C$4</f>
        <v>43313</v>
      </c>
      <c r="C10" s="414">
        <f>[7]Recap!$C$5</f>
        <v>43354</v>
      </c>
      <c r="D10" s="422">
        <f>[7]Recap!$K$14</f>
        <v>44306</v>
      </c>
      <c r="E10" s="423">
        <f>[7]Recap!$K$15</f>
        <v>44854</v>
      </c>
      <c r="F10" s="429">
        <f>[7]Recap!$C$39</f>
        <v>3.7054416556526928E-2</v>
      </c>
      <c r="G10" s="429">
        <f>'[7]2023'!$O$133</f>
        <v>6.0272280640767367E-2</v>
      </c>
      <c r="H10" s="418"/>
    </row>
    <row r="11" spans="1:22" x14ac:dyDescent="0.25">
      <c r="A11" s="407" t="s">
        <v>12</v>
      </c>
      <c r="B11" s="413">
        <f>[8]Recap!$C$4</f>
        <v>43475</v>
      </c>
      <c r="C11" s="414">
        <f>[8]Recap!$C$5</f>
        <v>43522</v>
      </c>
      <c r="D11" s="422" t="str">
        <f>[8]Recap!$K$13</f>
        <v/>
      </c>
      <c r="E11" s="423">
        <f>[8]Recap!$K$14</f>
        <v>44683</v>
      </c>
      <c r="F11" s="429">
        <f>[8]Recap!$C$38</f>
        <v>2.2343082207069716E-2</v>
      </c>
      <c r="G11" s="429">
        <f>'[8]2023'!$O$133</f>
        <v>2.8566667055035411E-2</v>
      </c>
      <c r="H11" s="418"/>
    </row>
    <row r="12" spans="1:22" x14ac:dyDescent="0.25">
      <c r="A12" s="407" t="s">
        <v>13</v>
      </c>
      <c r="B12" s="413">
        <f>[9]Recap!$C$4</f>
        <v>43481</v>
      </c>
      <c r="C12" s="414">
        <f>[9]Recap!$C$5</f>
        <v>43476</v>
      </c>
      <c r="D12" s="422" t="str">
        <f>[9]Recap!$K$13</f>
        <v/>
      </c>
      <c r="E12" s="423">
        <f>[9]Recap!$K$14</f>
        <v>44683</v>
      </c>
      <c r="F12" s="429">
        <f>[9]Recap!$C$38</f>
        <v>2.7928852758837143E-2</v>
      </c>
      <c r="G12" s="429">
        <f>'[9]2023'!$O$133</f>
        <v>3.5708333818794263E-2</v>
      </c>
      <c r="H12" s="418"/>
    </row>
    <row r="13" spans="1:22" x14ac:dyDescent="0.25">
      <c r="A13" s="407" t="s">
        <v>92</v>
      </c>
      <c r="B13" s="413">
        <f>[10]Recap!$C$4</f>
        <v>43496</v>
      </c>
      <c r="C13" s="414">
        <f>[10]Recap!$C$5</f>
        <v>43535</v>
      </c>
      <c r="D13" s="422" t="str">
        <f>[10]Recap!$K$13</f>
        <v/>
      </c>
      <c r="E13" s="423">
        <f>[10]Recap!$K$14</f>
        <v>44683</v>
      </c>
      <c r="F13" s="429">
        <f>[10]Recap!$C$38</f>
        <v>2.7127379112340089E-2</v>
      </c>
      <c r="G13" s="429">
        <f>'[10]2023'!$O$133</f>
        <v>3.8079386249886576E-2</v>
      </c>
      <c r="H13" s="418"/>
    </row>
    <row r="14" spans="1:22" x14ac:dyDescent="0.25">
      <c r="A14" s="407" t="s">
        <v>15</v>
      </c>
      <c r="B14" s="413">
        <f>[11]Recap!$C$4</f>
        <v>43763</v>
      </c>
      <c r="C14" s="414">
        <f>[11]Recap!$C$5</f>
        <v>43851</v>
      </c>
      <c r="D14" s="422" t="str">
        <f>[11]Recap!$K$12</f>
        <v/>
      </c>
      <c r="E14" s="423">
        <f>[11]Recap!$K$13</f>
        <v>44683</v>
      </c>
      <c r="F14" s="429">
        <f>[11]Recap!$C$37</f>
        <v>3.2688604690395577E-2</v>
      </c>
      <c r="G14" s="429">
        <f>'[11]2023'!$O$133</f>
        <v>4.1085867366912575E-2</v>
      </c>
      <c r="H14" s="418"/>
    </row>
    <row r="15" spans="1:22" x14ac:dyDescent="0.25">
      <c r="A15" s="407" t="s">
        <v>108</v>
      </c>
      <c r="B15" s="413">
        <f>[12]Recap!$C$4</f>
        <v>43808</v>
      </c>
      <c r="C15" s="414">
        <f>[12]Recap!$C$5</f>
        <v>43854</v>
      </c>
      <c r="D15" s="422" t="str">
        <f>[12]Recap!$K$12</f>
        <v/>
      </c>
      <c r="E15" s="423">
        <f>[12]Recap!$K$13</f>
        <v>44683</v>
      </c>
      <c r="F15" s="429">
        <f>[12]Recap!$C$37</f>
        <v>1.8272528200616311E-2</v>
      </c>
      <c r="G15" s="429">
        <f>'[12]2023'!$O$133</f>
        <v>2.4228963645563921E-2</v>
      </c>
      <c r="H15" s="418"/>
    </row>
    <row r="16" spans="1:22" x14ac:dyDescent="0.25">
      <c r="A16" s="407" t="s">
        <v>17</v>
      </c>
      <c r="B16" s="413">
        <f>[13]Recap!$C$4</f>
        <v>43881</v>
      </c>
      <c r="C16" s="414">
        <f>[13]Recap!$C$5</f>
        <v>43983</v>
      </c>
      <c r="D16" s="422" t="str">
        <f>[13]Recap!$K$12</f>
        <v/>
      </c>
      <c r="E16" s="423" t="str">
        <f>[13]Recap!$K$11</f>
        <v/>
      </c>
      <c r="F16" s="431">
        <f>[13]Recap!$C$37</f>
        <v>5.3893978729115229E-2</v>
      </c>
      <c r="G16" s="429">
        <f>'[13]2023'!$O$133</f>
        <v>5.3990894966876417E-2</v>
      </c>
      <c r="H16" s="418"/>
    </row>
    <row r="17" spans="1:8" x14ac:dyDescent="0.25">
      <c r="A17" s="407" t="s">
        <v>18</v>
      </c>
      <c r="B17" s="413">
        <f>[14]Recap!$C$4</f>
        <v>44424</v>
      </c>
      <c r="C17" s="414">
        <f>[14]Recap!$C$5</f>
        <v>44536</v>
      </c>
      <c r="D17" s="422"/>
      <c r="E17" s="423" t="str">
        <f>[14]Recap!$K$11</f>
        <v/>
      </c>
      <c r="F17" s="429">
        <f>[14]Recap!$C$35</f>
        <v>2.9436928440858216E-2</v>
      </c>
      <c r="G17" s="429">
        <f>'[14]2023'!$O$133</f>
        <v>3.4993230934781447E-2</v>
      </c>
      <c r="H17" s="418"/>
    </row>
    <row r="18" spans="1:8" x14ac:dyDescent="0.25">
      <c r="A18" s="405" t="s">
        <v>103</v>
      </c>
      <c r="B18" s="415">
        <f>[15]Recap!$C$4</f>
        <v>44522</v>
      </c>
      <c r="C18" s="416">
        <f>[15]Recap!$C$5</f>
        <v>44568</v>
      </c>
      <c r="D18" s="424"/>
      <c r="E18" s="425" t="str">
        <f>[15]Recap!$K$11</f>
        <v/>
      </c>
      <c r="F18" s="430">
        <f>[15]Recap!$C$35</f>
        <v>2.4698364221137914E-2</v>
      </c>
      <c r="G18" s="430">
        <f>'[15]2023'!$O$133</f>
        <v>3.0700399563379131E-2</v>
      </c>
      <c r="H18" s="419"/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6"/>
  <sheetViews>
    <sheetView topLeftCell="A16" workbookViewId="0">
      <selection activeCell="A39" sqref="A39:P39"/>
    </sheetView>
  </sheetViews>
  <sheetFormatPr baseColWidth="10" defaultRowHeight="15" x14ac:dyDescent="0.25"/>
  <cols>
    <col min="1" max="1" width="27.140625" customWidth="1"/>
    <col min="2" max="16" width="9.5703125" style="368" customWidth="1"/>
  </cols>
  <sheetData>
    <row r="1" spans="1:17" ht="18.75" x14ac:dyDescent="0.3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4"/>
    </row>
    <row r="2" spans="1:17" ht="7.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6"/>
    </row>
    <row r="3" spans="1:17" s="15" customFormat="1" ht="36" x14ac:dyDescent="0.2">
      <c r="A3" s="343" t="s">
        <v>87</v>
      </c>
      <c r="B3" s="344" t="s">
        <v>5</v>
      </c>
      <c r="C3" s="344" t="s">
        <v>6</v>
      </c>
      <c r="D3" s="344" t="s">
        <v>7</v>
      </c>
      <c r="E3" s="344" t="s">
        <v>8</v>
      </c>
      <c r="F3" s="344" t="s">
        <v>9</v>
      </c>
      <c r="G3" s="344" t="s">
        <v>10</v>
      </c>
      <c r="H3" s="344" t="s">
        <v>11</v>
      </c>
      <c r="I3" s="344" t="s">
        <v>12</v>
      </c>
      <c r="J3" s="344" t="s">
        <v>13</v>
      </c>
      <c r="K3" s="344" t="s">
        <v>88</v>
      </c>
      <c r="L3" s="344" t="s">
        <v>15</v>
      </c>
      <c r="M3" s="344" t="s">
        <v>16</v>
      </c>
      <c r="N3" s="344" t="s">
        <v>17</v>
      </c>
      <c r="O3" s="344" t="s">
        <v>18</v>
      </c>
      <c r="P3" s="344" t="s">
        <v>19</v>
      </c>
    </row>
    <row r="4" spans="1:17" x14ac:dyDescent="0.25">
      <c r="A4" s="345" t="s">
        <v>99</v>
      </c>
      <c r="B4" s="369">
        <f>Pertes!T23</f>
        <v>4.3637206482691517E-3</v>
      </c>
      <c r="C4" s="369">
        <f>Pertes!U23</f>
        <v>1.7034578592772934E-3</v>
      </c>
      <c r="D4" s="369">
        <f>Pertes!V23</f>
        <v>2.6741741248463818E-4</v>
      </c>
      <c r="E4" s="369">
        <f>Pertes!W23</f>
        <v>8.4511692811543247E-5</v>
      </c>
      <c r="F4" s="369">
        <f>Pertes!X23</f>
        <v>1.7521278204901995E-3</v>
      </c>
      <c r="G4" s="369">
        <f>Pertes!Y23</f>
        <v>4.8886297070358637E-4</v>
      </c>
      <c r="H4" s="369">
        <f>Pertes!Z23</f>
        <v>7.9308235864891732E-3</v>
      </c>
      <c r="I4" s="369">
        <f>Pertes!AA23</f>
        <v>3.1640702108862539E-3</v>
      </c>
      <c r="J4" s="369">
        <f>Pertes!AB23</f>
        <v>5.7865315866421473E-4</v>
      </c>
      <c r="K4" s="369">
        <f>Pertes!AC23</f>
        <v>2.9469959024322126E-5</v>
      </c>
      <c r="L4" s="369">
        <f>Pertes!AD23</f>
        <v>1.4040121021726397E-5</v>
      </c>
      <c r="M4" s="369">
        <f>Pertes!AE23</f>
        <v>1.2374153780807874E-4</v>
      </c>
      <c r="N4" s="369">
        <f>Pertes!AF23</f>
        <v>9.7389982502581092E-6</v>
      </c>
      <c r="O4" s="369">
        <f>Pertes!AG23</f>
        <v>4.0972298304039836E-5</v>
      </c>
      <c r="P4" s="370">
        <f>Pertes!AH23</f>
        <v>1.224006221423847E-4</v>
      </c>
    </row>
    <row r="5" spans="1:17" x14ac:dyDescent="0.25">
      <c r="A5" s="348" t="s">
        <v>100</v>
      </c>
      <c r="B5" s="371">
        <f>Pertes!T9</f>
        <v>8.2066513585501252E-2</v>
      </c>
      <c r="C5" s="371">
        <f>Pertes!U9</f>
        <v>7.279463496866663E-2</v>
      </c>
      <c r="D5" s="371">
        <f>Pertes!V9</f>
        <v>4.0878522946332305E-2</v>
      </c>
      <c r="E5" s="371">
        <f>Pertes!W9</f>
        <v>3.9662066796877289E-2</v>
      </c>
      <c r="F5" s="371">
        <f>Pertes!X9</f>
        <v>0.10553047200462641</v>
      </c>
      <c r="G5" s="371">
        <f>Pertes!Y9</f>
        <v>9.150835972314636E-2</v>
      </c>
      <c r="H5" s="371">
        <f>Pertes!Z9</f>
        <v>0.13209975019025294</v>
      </c>
      <c r="I5" s="371">
        <f>Pertes!AA9</f>
        <v>3.1507888155670037E-2</v>
      </c>
      <c r="J5" s="371">
        <f>Pertes!AB9</f>
        <v>3.555038745152693E-2</v>
      </c>
      <c r="K5" s="371">
        <f>Pertes!AC9</f>
        <v>4.3468339145651673E-2</v>
      </c>
      <c r="L5" s="371">
        <f>Pertes!AD9</f>
        <v>2.4124107549341148E-2</v>
      </c>
      <c r="M5" s="371">
        <f>Pertes!AE9</f>
        <v>1.9945515546071518E-2</v>
      </c>
      <c r="N5" s="371">
        <f>Pertes!AF9</f>
        <v>4.1707658943991616E-2</v>
      </c>
      <c r="O5" s="371">
        <f>Pertes!AG9</f>
        <v>2.0742102046489776E-2</v>
      </c>
      <c r="P5" s="372">
        <f>Pertes!AH9</f>
        <v>1.4934919672471136E-2</v>
      </c>
    </row>
    <row r="6" spans="1:17" x14ac:dyDescent="0.25">
      <c r="A6" s="351" t="s">
        <v>91</v>
      </c>
      <c r="B6" s="352">
        <f>[1]Recap!$L$38</f>
        <v>9.2374320811537389E-2</v>
      </c>
      <c r="C6" s="353">
        <f>[2]Recap!$L$38</f>
        <v>7.6966161784992645E-2</v>
      </c>
      <c r="D6" s="353">
        <f>[3]Recap!$L$38</f>
        <v>4.1728153322544911E-2</v>
      </c>
      <c r="E6" s="353">
        <f>[4]Recap!$L$38</f>
        <v>5.1744622120926613E-2</v>
      </c>
      <c r="F6" s="353">
        <f>[5]Recap!$L$38</f>
        <v>9.5363472841258151E-2</v>
      </c>
      <c r="G6" s="353">
        <f>[6]Recap!$L$38</f>
        <v>9.5265982743073477E-2</v>
      </c>
      <c r="H6" s="353">
        <f>[7]Recap!$L$38</f>
        <v>0.10249727570237151</v>
      </c>
      <c r="I6" s="353">
        <f>[8]Recap!$L$38</f>
        <v>7.724890312007289E-2</v>
      </c>
      <c r="J6" s="353">
        <f>[9]Recap!$L$38</f>
        <v>7.5356069233591422E-2</v>
      </c>
      <c r="K6" s="353">
        <f>[10]Recap!$L$38</f>
        <v>0.1076176218294741</v>
      </c>
      <c r="L6" s="353">
        <f>[11]Recap!$L$37</f>
        <v>3.7018769879940357E-2</v>
      </c>
      <c r="M6" s="353">
        <f>[12]Recap!$L$37</f>
        <v>4.4563380900108515E-2</v>
      </c>
      <c r="N6" s="353"/>
      <c r="O6" s="353"/>
      <c r="P6" s="354"/>
    </row>
    <row r="22" spans="1:24" s="15" customFormat="1" ht="48" x14ac:dyDescent="0.25">
      <c r="B22" s="344" t="s">
        <v>6</v>
      </c>
      <c r="C22" s="344" t="s">
        <v>6</v>
      </c>
      <c r="D22" s="344" t="s">
        <v>7</v>
      </c>
      <c r="E22" s="344" t="s">
        <v>8</v>
      </c>
      <c r="F22" s="344" t="s">
        <v>9</v>
      </c>
      <c r="G22" s="344" t="s">
        <v>10</v>
      </c>
      <c r="H22" s="344" t="s">
        <v>11</v>
      </c>
      <c r="I22" s="344" t="s">
        <v>12</v>
      </c>
      <c r="J22" s="344" t="s">
        <v>13</v>
      </c>
      <c r="K22" s="344" t="s">
        <v>92</v>
      </c>
      <c r="L22" s="344" t="s">
        <v>15</v>
      </c>
      <c r="M22" s="344" t="s">
        <v>16</v>
      </c>
      <c r="N22" s="344" t="s">
        <v>17</v>
      </c>
      <c r="O22" s="344" t="s">
        <v>18</v>
      </c>
      <c r="P22" s="344" t="s">
        <v>19</v>
      </c>
      <c r="Q22"/>
      <c r="R22" s="437" t="s">
        <v>24</v>
      </c>
      <c r="S22" s="438"/>
      <c r="T22" s="439" t="s">
        <v>25</v>
      </c>
      <c r="U22" s="440"/>
      <c r="V22" s="440"/>
      <c r="W22" s="440"/>
      <c r="X22" s="440"/>
    </row>
    <row r="23" spans="1:24" s="300" customFormat="1" x14ac:dyDescent="0.25">
      <c r="A23" s="373" t="s">
        <v>101</v>
      </c>
      <c r="B23" s="374">
        <f>'[1]Réglage perte'!$U$5</f>
        <v>1.7000000000000001E-2</v>
      </c>
      <c r="C23" s="375">
        <f>'[2]Réglage perte'!$U$5</f>
        <v>8.0000000000000002E-3</v>
      </c>
      <c r="D23" s="375">
        <f>'[3]Réglage perte'!$U$5</f>
        <v>5.4999999999999997E-3</v>
      </c>
      <c r="E23" s="375">
        <f>'[4]Réglage perte'!$U$5</f>
        <v>5.0000000000000001E-3</v>
      </c>
      <c r="F23" s="375">
        <f>'[5]Réglage perte'!$U$5</f>
        <v>1.7999999999999999E-2</v>
      </c>
      <c r="G23" s="375">
        <f>'[6]Réglage perte'!$U$5</f>
        <v>1.7999999999999999E-2</v>
      </c>
      <c r="H23" s="375">
        <f>'[7]Réglage perte'!$U$5</f>
        <v>2.5000000000000001E-2</v>
      </c>
      <c r="I23" s="375">
        <f>'[2]Réglage perte'!$U$5</f>
        <v>8.0000000000000002E-3</v>
      </c>
      <c r="J23" s="375">
        <f>'[9]Réglage perte'!$U$5</f>
        <v>0.01</v>
      </c>
      <c r="K23" s="375">
        <f>'[10]Réglage perte'!$U$5</f>
        <v>8.9999999999999993E-3</v>
      </c>
      <c r="L23" s="375">
        <f>'[11]Réglage perte'!$O$5</f>
        <v>6.0000000000000001E-3</v>
      </c>
      <c r="M23" s="375">
        <f>'[12]Réglage perte'!$O$5</f>
        <v>4.0000000000000001E-3</v>
      </c>
      <c r="N23" s="375"/>
      <c r="O23" s="375"/>
      <c r="P23" s="376"/>
      <c r="R23" s="435" t="s">
        <v>27</v>
      </c>
      <c r="S23" s="436"/>
      <c r="T23" s="355" t="str">
        <f>'Réglages pertes'!U30</f>
        <v>Particularités de réglages</v>
      </c>
    </row>
    <row r="24" spans="1:24" s="150" customFormat="1" x14ac:dyDescent="0.25">
      <c r="A24" s="377" t="s">
        <v>102</v>
      </c>
      <c r="B24" s="378">
        <f>B23/(B23+B6)</f>
        <v>0.15542953660295325</v>
      </c>
      <c r="C24" s="379">
        <f t="shared" ref="C24:M24" si="0">C23/(C23+C6)</f>
        <v>9.4155129900348397E-2</v>
      </c>
      <c r="D24" s="379">
        <f t="shared" si="0"/>
        <v>0.11645596139314875</v>
      </c>
      <c r="E24" s="379">
        <f t="shared" si="0"/>
        <v>8.8114076948907397E-2</v>
      </c>
      <c r="F24" s="379">
        <f t="shared" si="0"/>
        <v>0.15878130361448292</v>
      </c>
      <c r="G24" s="379">
        <f t="shared" si="0"/>
        <v>0.15891796957988913</v>
      </c>
      <c r="H24" s="379">
        <f t="shared" si="0"/>
        <v>0.19608262107780072</v>
      </c>
      <c r="I24" s="379">
        <f t="shared" si="0"/>
        <v>9.3842849669655212E-2</v>
      </c>
      <c r="J24" s="379">
        <f t="shared" si="0"/>
        <v>0.11715628530917113</v>
      </c>
      <c r="K24" s="379">
        <f t="shared" si="0"/>
        <v>7.7175300428955651E-2</v>
      </c>
      <c r="L24" s="379">
        <f t="shared" si="0"/>
        <v>0.13947400208665192</v>
      </c>
      <c r="M24" s="379">
        <f t="shared" si="0"/>
        <v>8.236658827826919E-2</v>
      </c>
      <c r="N24" s="379"/>
      <c r="O24" s="379"/>
      <c r="P24" s="380"/>
      <c r="R24" s="441" t="s">
        <v>27</v>
      </c>
      <c r="S24" s="442"/>
      <c r="T24" s="381" t="str">
        <f>'Réglages pertes'!U31</f>
        <v>Quelques pertes végétation; Taux de salissure assez fort augmente en 2022</v>
      </c>
    </row>
    <row r="25" spans="1:24" x14ac:dyDescent="0.25">
      <c r="R25" s="435" t="s">
        <v>31</v>
      </c>
      <c r="S25" s="436" t="s">
        <v>31</v>
      </c>
      <c r="T25" s="355" t="str">
        <f>'Réglages pertes'!U33</f>
        <v>Taux de salissure assez faible augmente en 2022</v>
      </c>
    </row>
    <row r="26" spans="1:24" x14ac:dyDescent="0.25">
      <c r="R26" s="435" t="s">
        <v>32</v>
      </c>
      <c r="S26" s="436" t="s">
        <v>32</v>
      </c>
      <c r="T26" s="355" t="str">
        <f>'Réglages pertes'!U34</f>
        <v>Faible taux de pertes PV et de salissure</v>
      </c>
    </row>
    <row r="27" spans="1:24" x14ac:dyDescent="0.25">
      <c r="R27" s="435" t="s">
        <v>34</v>
      </c>
      <c r="S27" s="436" t="s">
        <v>34</v>
      </c>
      <c r="T27" s="362" t="str">
        <f>'Réglages pertes'!U35</f>
        <v>Fort taux de perte PV + 1/3 module; salissures assez fortes: 2eme position</v>
      </c>
    </row>
    <row r="28" spans="1:24" s="365" customFormat="1" x14ac:dyDescent="0.25">
      <c r="A28"/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8"/>
      <c r="P28" s="368"/>
      <c r="R28" s="435" t="s">
        <v>36</v>
      </c>
      <c r="S28" s="436" t="s">
        <v>36</v>
      </c>
      <c r="T28" s="355" t="str">
        <f>'Réglages pertes'!U36</f>
        <v>RAS</v>
      </c>
    </row>
    <row r="29" spans="1:24" x14ac:dyDescent="0.25">
      <c r="R29" s="435" t="s">
        <v>38</v>
      </c>
      <c r="S29" s="436" t="s">
        <v>38</v>
      </c>
      <c r="T29" s="362" t="str">
        <f>'Réglages pertes'!U37</f>
        <v>Taux PV salissure et végétation sont les plus élevés!</v>
      </c>
    </row>
    <row r="30" spans="1:24" x14ac:dyDescent="0.25">
      <c r="R30" s="435" t="s">
        <v>40</v>
      </c>
      <c r="S30" s="436" t="s">
        <v>40</v>
      </c>
      <c r="T30" s="355" t="str">
        <f>'Réglages pertes'!U38</f>
        <v>Augmentation salissures depuis 2021 effacé par nettoyage 22</v>
      </c>
    </row>
    <row r="31" spans="1:24" x14ac:dyDescent="0.25">
      <c r="R31" s="435" t="s">
        <v>42</v>
      </c>
      <c r="S31" s="436" t="s">
        <v>42</v>
      </c>
      <c r="T31" s="355" t="str">
        <f>'Réglages pertes'!U39</f>
        <v>Légère augmentation taux de salissure en 2022 effacé par nettoyage 22</v>
      </c>
    </row>
    <row r="32" spans="1:24" x14ac:dyDescent="0.25">
      <c r="R32" s="435" t="s">
        <v>44</v>
      </c>
      <c r="S32" s="436" t="s">
        <v>45</v>
      </c>
      <c r="T32" s="355" t="str">
        <f>'Réglages pertes'!U40</f>
        <v>Forte augmentation salissures en 2021-22  effacé par nettoyage 22</v>
      </c>
    </row>
    <row r="33" spans="1:20" x14ac:dyDescent="0.25">
      <c r="R33" s="435" t="s">
        <v>47</v>
      </c>
      <c r="S33" s="436" t="s">
        <v>47</v>
      </c>
      <c r="T33" s="355" t="str">
        <f>'Réglages pertes'!U41</f>
        <v>Augmentation taux de salissure en 2022 effacé par nettoyage 22</v>
      </c>
    </row>
    <row r="34" spans="1:20" x14ac:dyDescent="0.25">
      <c r="R34" s="435" t="s">
        <v>49</v>
      </c>
      <c r="S34" s="436" t="s">
        <v>49</v>
      </c>
      <c r="T34" s="355" t="str">
        <f>'Réglages pertes'!U42</f>
        <v>Fort taux de salissure en 2021-22 effacé par nettoyage 22</v>
      </c>
    </row>
    <row r="35" spans="1:20" x14ac:dyDescent="0.25">
      <c r="R35" s="435" t="s">
        <v>51</v>
      </c>
      <c r="S35" s="436" t="s">
        <v>51</v>
      </c>
      <c r="T35" s="355" t="str">
        <f>'Réglages pertes'!U43</f>
        <v>Taux de salissure initialement le plus faible augmente en 2022</v>
      </c>
    </row>
    <row r="36" spans="1:20" ht="15" customHeight="1" x14ac:dyDescent="0.25">
      <c r="R36" s="435" t="s">
        <v>18</v>
      </c>
      <c r="S36" s="436"/>
      <c r="T36" s="355"/>
    </row>
    <row r="37" spans="1:20" ht="15" customHeight="1" x14ac:dyDescent="0.25">
      <c r="R37" s="435" t="s">
        <v>103</v>
      </c>
      <c r="S37" s="436"/>
      <c r="T37" s="355"/>
    </row>
    <row r="39" spans="1:20" ht="48" x14ac:dyDescent="0.25">
      <c r="A39" s="386" t="s">
        <v>104</v>
      </c>
      <c r="B39" s="344" t="s">
        <v>5</v>
      </c>
      <c r="C39" s="344" t="s">
        <v>6</v>
      </c>
      <c r="D39" s="344" t="s">
        <v>7</v>
      </c>
      <c r="E39" s="344" t="s">
        <v>8</v>
      </c>
      <c r="F39" s="344" t="s">
        <v>9</v>
      </c>
      <c r="G39" s="344" t="s">
        <v>10</v>
      </c>
      <c r="H39" s="344" t="s">
        <v>11</v>
      </c>
      <c r="I39" s="344" t="s">
        <v>12</v>
      </c>
      <c r="J39" s="344" t="s">
        <v>13</v>
      </c>
      <c r="K39" s="344" t="s">
        <v>92</v>
      </c>
      <c r="L39" s="344" t="s">
        <v>15</v>
      </c>
      <c r="M39" s="344" t="s">
        <v>16</v>
      </c>
      <c r="N39" s="344" t="s">
        <v>17</v>
      </c>
      <c r="O39" s="344" t="s">
        <v>18</v>
      </c>
      <c r="P39" s="344" t="s">
        <v>19</v>
      </c>
    </row>
    <row r="40" spans="1:20" x14ac:dyDescent="0.25">
      <c r="A40" s="382" t="s">
        <v>106</v>
      </c>
      <c r="O40" s="443" t="s">
        <v>105</v>
      </c>
      <c r="P40" s="444"/>
    </row>
    <row r="41" spans="1:20" x14ac:dyDescent="0.25">
      <c r="A41" s="356" t="s">
        <v>93</v>
      </c>
      <c r="B41" s="395">
        <v>4.5312174635553107E-2</v>
      </c>
      <c r="C41" s="395">
        <v>3.9432436610392127E-2</v>
      </c>
      <c r="D41" s="395">
        <v>2.6991531297681722E-2</v>
      </c>
      <c r="E41" s="395">
        <v>2.7220922805056905E-2</v>
      </c>
      <c r="F41" s="395">
        <v>5.3892389097312761E-2</v>
      </c>
      <c r="G41" s="395">
        <v>4.8949758658645266E-2</v>
      </c>
      <c r="H41" s="395">
        <v>5.77833117225139E-2</v>
      </c>
      <c r="I41" s="395">
        <v>1.8138872954585349E-2</v>
      </c>
      <c r="J41" s="395">
        <v>2.3347660505402303E-2</v>
      </c>
      <c r="K41" s="395">
        <v>3.1583533572345231E-2</v>
      </c>
      <c r="L41" s="395">
        <v>2.7072780803174389E-2</v>
      </c>
      <c r="M41" s="395">
        <v>1.7877522909908881E-2</v>
      </c>
      <c r="N41" s="395">
        <v>1.4523469020270772E-2</v>
      </c>
      <c r="O41" s="396">
        <v>2.1156113563079549E-2</v>
      </c>
      <c r="P41" s="397">
        <v>2.1267703692230969E-2</v>
      </c>
    </row>
    <row r="42" spans="1:20" x14ac:dyDescent="0.25">
      <c r="A42" s="358" t="s">
        <v>94</v>
      </c>
      <c r="B42" s="398">
        <v>5.9807321905491116E-2</v>
      </c>
      <c r="C42" s="398">
        <v>6.2359571936301671E-2</v>
      </c>
      <c r="D42" s="398">
        <v>3.9773708690149588E-2</v>
      </c>
      <c r="E42" s="398">
        <v>4.1872621846960625E-2</v>
      </c>
      <c r="F42" s="398">
        <v>7.9688487026982002E-2</v>
      </c>
      <c r="G42" s="398">
        <v>7.0001222491576587E-2</v>
      </c>
      <c r="H42" s="398">
        <v>8.1994887800479352E-2</v>
      </c>
      <c r="I42" s="398">
        <v>2.6960206732437757E-2</v>
      </c>
      <c r="J42" s="398">
        <v>3.4765067197101145E-2</v>
      </c>
      <c r="K42" s="398">
        <v>4.7222465831656436E-2</v>
      </c>
      <c r="L42" s="398">
        <v>4.0413989492903549E-2</v>
      </c>
      <c r="M42" s="398">
        <v>2.5151837164038647E-2</v>
      </c>
      <c r="N42" s="398">
        <v>2.0394803140350283E-2</v>
      </c>
      <c r="O42" s="396">
        <v>2.9837913836707679E-2</v>
      </c>
      <c r="P42" s="397">
        <v>2.9999509265102572E-2</v>
      </c>
    </row>
    <row r="43" spans="1:20" x14ac:dyDescent="0.25">
      <c r="A43" s="358" t="s">
        <v>95</v>
      </c>
      <c r="B43" s="398">
        <v>6.1459634167294039E-2</v>
      </c>
      <c r="C43" s="398">
        <v>7.6361994253913962E-2</v>
      </c>
      <c r="D43" s="398">
        <v>4.3300071462779449E-2</v>
      </c>
      <c r="E43" s="398">
        <v>4.667706074689023E-2</v>
      </c>
      <c r="F43" s="398">
        <v>8.85310363253939E-2</v>
      </c>
      <c r="G43" s="398">
        <v>7.7914422145142506E-2</v>
      </c>
      <c r="H43" s="398">
        <v>8.4207760200772433E-2</v>
      </c>
      <c r="I43" s="398">
        <v>3.0621467534179787E-2</v>
      </c>
      <c r="J43" s="398">
        <v>3.9482904030468752E-2</v>
      </c>
      <c r="K43" s="398">
        <v>5.2529233262674009E-2</v>
      </c>
      <c r="L43" s="398">
        <v>4.6495785156176271E-2</v>
      </c>
      <c r="M43" s="398">
        <v>2.7157179432654697E-2</v>
      </c>
      <c r="N43" s="398">
        <v>2.2522806745793645E-2</v>
      </c>
      <c r="O43" s="396">
        <v>3.2401183701939347E-2</v>
      </c>
      <c r="P43" s="397">
        <v>3.2581511656772498E-2</v>
      </c>
    </row>
    <row r="44" spans="1:20" x14ac:dyDescent="0.25">
      <c r="A44" s="360" t="s">
        <v>96</v>
      </c>
      <c r="B44" s="399">
        <v>5.6465268423716568E-2</v>
      </c>
      <c r="C44" s="399">
        <v>7.296561189424236E-2</v>
      </c>
      <c r="D44" s="399">
        <v>3.9668192570722204E-2</v>
      </c>
      <c r="E44" s="399">
        <v>4.4817282822527123E-2</v>
      </c>
      <c r="F44" s="399">
        <v>8.2237332522681159E-2</v>
      </c>
      <c r="G44" s="399">
        <v>7.3820169456146487E-2</v>
      </c>
      <c r="H44" s="399">
        <v>8.3045456670060622E-2</v>
      </c>
      <c r="I44" s="399">
        <v>3.0198805302745355E-2</v>
      </c>
      <c r="J44" s="399">
        <v>3.8937929094097649E-2</v>
      </c>
      <c r="K44" s="399">
        <v>5.1804182351199587E-2</v>
      </c>
      <c r="L44" s="399">
        <v>4.5497232459029147E-2</v>
      </c>
      <c r="M44" s="399">
        <v>2.6729320669830265E-2</v>
      </c>
      <c r="N44" s="399">
        <v>2.2039102484261278E-2</v>
      </c>
      <c r="O44" s="400">
        <v>3.1794170093917759E-2</v>
      </c>
      <c r="P44" s="401">
        <v>3.196633532180608E-2</v>
      </c>
    </row>
    <row r="45" spans="1:20" x14ac:dyDescent="0.25">
      <c r="A45" s="363" t="s">
        <v>97</v>
      </c>
      <c r="B45" s="364">
        <f>[1]Recap!$M$32</f>
        <v>2</v>
      </c>
      <c r="C45" s="364">
        <f>[2]Recap!$M$32</f>
        <v>2</v>
      </c>
      <c r="D45" s="364">
        <f>[3]Recap!$M$32</f>
        <v>2</v>
      </c>
      <c r="E45" s="364">
        <f>[4]Recap!$M$32</f>
        <v>2</v>
      </c>
      <c r="F45" s="364">
        <f>[5]Recap!$M$32</f>
        <v>2</v>
      </c>
      <c r="G45" s="364">
        <f>[6]Recap!$M$32</f>
        <v>2</v>
      </c>
      <c r="H45" s="364">
        <f>[7]Recap!$M$32</f>
        <v>2</v>
      </c>
      <c r="I45" s="364">
        <f>[8]Recap!$M$32</f>
        <v>2</v>
      </c>
      <c r="J45" s="364">
        <f>[9]Recap!$M$32</f>
        <v>2</v>
      </c>
      <c r="K45" s="364">
        <f>[10]Recap!$M$32</f>
        <v>2</v>
      </c>
      <c r="L45" s="364">
        <f>[11]Recap!$M$32</f>
        <v>2</v>
      </c>
      <c r="M45" s="364">
        <f>[12]Recap!$M$32</f>
        <v>2</v>
      </c>
      <c r="N45" s="364">
        <f>[13]Recap!$M$32</f>
        <v>2</v>
      </c>
      <c r="O45" s="364">
        <f>[14]Recap!$M$32</f>
        <v>2</v>
      </c>
      <c r="P45" s="364">
        <f>[15]Recap!$M$32</f>
        <v>2</v>
      </c>
    </row>
    <row r="46" spans="1:20" x14ac:dyDescent="0.25">
      <c r="A46" s="366" t="s">
        <v>107</v>
      </c>
      <c r="B46" s="394">
        <f>[1]Recap!$O$32</f>
        <v>5.9807321905491116E-2</v>
      </c>
      <c r="C46" s="394">
        <f>[2]Recap!$O$32</f>
        <v>6.2359571936301671E-2</v>
      </c>
      <c r="D46" s="394">
        <f>[3]Recap!$O$32</f>
        <v>3.9773708690149588E-2</v>
      </c>
      <c r="E46" s="394">
        <f>[4]Recap!$O$32</f>
        <v>4.1872621846960625E-2</v>
      </c>
      <c r="F46" s="394">
        <f>[5]Recap!$O$32</f>
        <v>7.9688487026982002E-2</v>
      </c>
      <c r="G46" s="394">
        <f>[6]Recap!$O$32</f>
        <v>7.0001222491576587E-2</v>
      </c>
      <c r="H46" s="394">
        <f>[7]Recap!$O$32</f>
        <v>8.1994887800479352E-2</v>
      </c>
      <c r="I46" s="394">
        <f>[8]Recap!$O$32</f>
        <v>2.6960206732437757E-2</v>
      </c>
      <c r="J46" s="394">
        <f>[9]Recap!$O$32</f>
        <v>3.4765067197101145E-2</v>
      </c>
      <c r="K46" s="394">
        <f>[10]Recap!$O$32</f>
        <v>4.7222465831656436E-2</v>
      </c>
      <c r="L46" s="394">
        <f>[11]Recap!$O$32</f>
        <v>4.0413989492903549E-2</v>
      </c>
      <c r="M46" s="394">
        <f>[12]Recap!$O$32</f>
        <v>2.5151837164038647E-2</v>
      </c>
      <c r="N46" s="394">
        <f>[13]Recap!$O$32</f>
        <v>2.0394803140350283E-2</v>
      </c>
      <c r="O46" s="394">
        <f>[14]Recap!$O$32</f>
        <v>2.9837913836707679E-2</v>
      </c>
      <c r="P46" s="394">
        <f>[15]Recap!$O$32</f>
        <v>2.9999509265102572E-2</v>
      </c>
    </row>
  </sheetData>
  <mergeCells count="18">
    <mergeCell ref="O40:P40"/>
    <mergeCell ref="R33:S33"/>
    <mergeCell ref="R34:S34"/>
    <mergeCell ref="R35:S35"/>
    <mergeCell ref="R36:S36"/>
    <mergeCell ref="R37:S37"/>
    <mergeCell ref="R32:S32"/>
    <mergeCell ref="R22:S22"/>
    <mergeCell ref="T22:X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B29" sqref="B29:P29"/>
    </sheetView>
  </sheetViews>
  <sheetFormatPr baseColWidth="10" defaultRowHeight="15" x14ac:dyDescent="0.25"/>
  <cols>
    <col min="1" max="1" width="27.140625" customWidth="1"/>
    <col min="2" max="16" width="9.5703125" style="368" customWidth="1"/>
    <col min="17" max="17" width="4.5703125" customWidth="1"/>
  </cols>
  <sheetData>
    <row r="1" spans="1:17" ht="18.75" x14ac:dyDescent="0.3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4"/>
    </row>
    <row r="2" spans="1:17" ht="18.75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6"/>
    </row>
    <row r="3" spans="1:17" s="15" customFormat="1" ht="36" x14ac:dyDescent="0.2">
      <c r="A3" s="343" t="s">
        <v>87</v>
      </c>
      <c r="B3" s="344" t="s">
        <v>5</v>
      </c>
      <c r="C3" s="344" t="s">
        <v>6</v>
      </c>
      <c r="D3" s="344" t="s">
        <v>7</v>
      </c>
      <c r="E3" s="344" t="s">
        <v>8</v>
      </c>
      <c r="F3" s="344" t="s">
        <v>9</v>
      </c>
      <c r="G3" s="344" t="s">
        <v>10</v>
      </c>
      <c r="H3" s="344" t="s">
        <v>11</v>
      </c>
      <c r="I3" s="344" t="s">
        <v>12</v>
      </c>
      <c r="J3" s="344" t="s">
        <v>13</v>
      </c>
      <c r="K3" s="344" t="s">
        <v>88</v>
      </c>
      <c r="L3" s="344" t="s">
        <v>15</v>
      </c>
      <c r="M3" s="344" t="s">
        <v>16</v>
      </c>
      <c r="N3" s="344" t="s">
        <v>17</v>
      </c>
      <c r="O3" s="344" t="s">
        <v>18</v>
      </c>
      <c r="P3" s="344" t="s">
        <v>19</v>
      </c>
    </row>
    <row r="4" spans="1:17" x14ac:dyDescent="0.25">
      <c r="A4" s="387" t="s">
        <v>89</v>
      </c>
      <c r="B4" s="346">
        <f>SUM(Pertes!B23)/'Coeff''s perfo'!B23</f>
        <v>5.7827167950883522</v>
      </c>
      <c r="C4" s="346">
        <f>SUM(Pertes!C23)/'Coeff''s perfo'!C23</f>
        <v>2.2491440178021795</v>
      </c>
      <c r="D4" s="346">
        <f>SUM(Pertes!D23)/'Coeff''s perfo'!D23</f>
        <v>0.35190370507826274</v>
      </c>
      <c r="E4" s="346">
        <f>SUM(Pertes!E23)/'Coeff''s perfo'!E23</f>
        <v>0.11174647025354349</v>
      </c>
      <c r="F4" s="346">
        <f>SUM(Pertes!F23)/'Coeff''s perfo'!F23</f>
        <v>2.0923561790698177</v>
      </c>
      <c r="G4" s="346">
        <f>SUM(Pertes!G23)/'Coeff''s perfo'!G23</f>
        <v>0.63890149177929156</v>
      </c>
      <c r="H4" s="346">
        <f>SUM(Pertes!H23)/'Coeff''s perfo'!H23</f>
        <v>10.102207471653864</v>
      </c>
      <c r="I4" s="346">
        <f>SUM(Pertes!I23)/'Coeff''s perfo'!I23</f>
        <v>4.2656111364222724</v>
      </c>
      <c r="J4" s="346">
        <f>SUM(Pertes!J23)/'Coeff''s perfo'!J23</f>
        <v>0.78803702287858701</v>
      </c>
      <c r="K4" s="346">
        <f>SUM(Pertes!K23)/'Coeff''s perfo'!K23</f>
        <v>4.061539667069345E-2</v>
      </c>
      <c r="L4" s="346">
        <f>SUM(Pertes!L23)/'Coeff''s perfo'!L23</f>
        <v>1.9538642451739523E-2</v>
      </c>
      <c r="M4" s="346">
        <f>SUM(Pertes!M23)/'Coeff''s perfo'!M23</f>
        <v>0.16773844333462143</v>
      </c>
      <c r="N4" s="346">
        <f>SUM(Pertes!N23)/'Coeff''s perfo'!N23</f>
        <v>1.4052753730939343E-2</v>
      </c>
      <c r="O4" s="346">
        <f>SUM(Pertes!O23)/'Coeff''s perfo'!O23</f>
        <v>5.5067968554324352E-2</v>
      </c>
      <c r="P4" s="347">
        <f>SUM(Pertes!P23)/'Coeff''s perfo'!P23</f>
        <v>0.15835843313044612</v>
      </c>
    </row>
    <row r="5" spans="1:17" x14ac:dyDescent="0.25">
      <c r="A5" s="388" t="s">
        <v>90</v>
      </c>
      <c r="B5" s="349">
        <f>Pertes!B9/'Coeff''s perfo'!B23</f>
        <v>100.25001520718608</v>
      </c>
      <c r="C5" s="349">
        <f>Pertes!C9/'Coeff''s perfo'!C23</f>
        <v>89.39130046998595</v>
      </c>
      <c r="D5" s="349">
        <f>Pertes!D9/'Coeff''s perfo'!D23</f>
        <v>51.616634051048003</v>
      </c>
      <c r="E5" s="349">
        <f>Pertes!E9/'Coeff''s perfo'!E23</f>
        <v>50.379620236772801</v>
      </c>
      <c r="F5" s="349">
        <f>Pertes!F9/'Coeff''s perfo'!F23</f>
        <v>113.44635133539776</v>
      </c>
      <c r="G5" s="349">
        <f>Pertes!G9/'Coeff''s perfo'!G23</f>
        <v>109.26184838173023</v>
      </c>
      <c r="H5" s="349">
        <f>Pertes!H9/'Coeff''s perfo'!H23</f>
        <v>148.05710305242854</v>
      </c>
      <c r="I5" s="349">
        <f>Pertes!I9/'Coeff''s perfo'!I23</f>
        <v>41.149476309415725</v>
      </c>
      <c r="J5" s="349">
        <f>Pertes!J9/'Coeff''s perfo'!J23</f>
        <v>46.71356828504733</v>
      </c>
      <c r="K5" s="349">
        <f>Pertes!K9/'Coeff''s perfo'!K23</f>
        <v>57.354512913414538</v>
      </c>
      <c r="L5" s="349">
        <f>Pertes!L9/'Coeff''s perfo'!L23</f>
        <v>32.769693966257343</v>
      </c>
      <c r="M5" s="349">
        <f>Pertes!M9/'Coeff''s perfo'!M23</f>
        <v>26.500173750683583</v>
      </c>
      <c r="N5" s="349">
        <f>Pertes!N9/'Coeff''s perfo'!N23</f>
        <v>57.756064792336801</v>
      </c>
      <c r="O5" s="349">
        <f>Pertes!O9/'Coeff''s perfo'!O23</f>
        <v>27.308762743275217</v>
      </c>
      <c r="P5" s="350">
        <f>Pertes!P9/'Coeff''s perfo'!P23</f>
        <v>19.037252152479518</v>
      </c>
    </row>
    <row r="6" spans="1:17" x14ac:dyDescent="0.25">
      <c r="A6" s="389" t="s">
        <v>91</v>
      </c>
      <c r="B6" s="352">
        <f>[1]Recap!$L$38</f>
        <v>9.2374320811537389E-2</v>
      </c>
      <c r="C6" s="353">
        <f>[2]Recap!$L$38</f>
        <v>7.6966161784992645E-2</v>
      </c>
      <c r="D6" s="353">
        <f>[3]Recap!$L$38</f>
        <v>4.1728153322544911E-2</v>
      </c>
      <c r="E6" s="353">
        <f>[4]Recap!$L$38</f>
        <v>5.1744622120926613E-2</v>
      </c>
      <c r="F6" s="353">
        <f>[5]Recap!$L$38</f>
        <v>9.5363472841258151E-2</v>
      </c>
      <c r="G6" s="353">
        <f>[6]Recap!$L$38</f>
        <v>9.5265982743073477E-2</v>
      </c>
      <c r="H6" s="353">
        <f>[7]Recap!$L$38</f>
        <v>0.10249727570237151</v>
      </c>
      <c r="I6" s="353">
        <f>[8]Recap!$L$38</f>
        <v>7.724890312007289E-2</v>
      </c>
      <c r="J6" s="353">
        <f>[9]Recap!$L$38</f>
        <v>7.5356069233591422E-2</v>
      </c>
      <c r="K6" s="353">
        <f>[10]Recap!$L$38</f>
        <v>0.1076176218294741</v>
      </c>
      <c r="L6" s="353">
        <f>[11]Recap!$L$37</f>
        <v>3.7018769879940357E-2</v>
      </c>
      <c r="M6" s="353">
        <f>[12]Recap!$L$37</f>
        <v>4.4563380900108515E-2</v>
      </c>
      <c r="N6" s="353"/>
      <c r="O6" s="353"/>
      <c r="P6" s="354"/>
    </row>
    <row r="22" spans="1:24" s="15" customFormat="1" ht="48" x14ac:dyDescent="0.25">
      <c r="A22" s="386" t="s">
        <v>104</v>
      </c>
      <c r="B22" s="344" t="s">
        <v>5</v>
      </c>
      <c r="C22" s="344" t="s">
        <v>6</v>
      </c>
      <c r="D22" s="344" t="s">
        <v>7</v>
      </c>
      <c r="E22" s="344" t="s">
        <v>8</v>
      </c>
      <c r="F22" s="344" t="s">
        <v>9</v>
      </c>
      <c r="G22" s="344" t="s">
        <v>10</v>
      </c>
      <c r="H22" s="344" t="s">
        <v>11</v>
      </c>
      <c r="I22" s="344" t="s">
        <v>12</v>
      </c>
      <c r="J22" s="344" t="s">
        <v>13</v>
      </c>
      <c r="K22" s="344" t="s">
        <v>92</v>
      </c>
      <c r="L22" s="344" t="s">
        <v>15</v>
      </c>
      <c r="M22" s="344" t="s">
        <v>16</v>
      </c>
      <c r="N22" s="344" t="s">
        <v>17</v>
      </c>
      <c r="O22" s="344" t="s">
        <v>18</v>
      </c>
      <c r="P22" s="344" t="s">
        <v>19</v>
      </c>
      <c r="Q22"/>
      <c r="R22" s="437" t="s">
        <v>24</v>
      </c>
      <c r="S22" s="438"/>
      <c r="T22" s="439" t="s">
        <v>25</v>
      </c>
      <c r="U22" s="440"/>
      <c r="V22" s="440"/>
      <c r="W22" s="440"/>
      <c r="X22" s="440"/>
    </row>
    <row r="23" spans="1:24" x14ac:dyDescent="0.25">
      <c r="A23" s="382" t="s">
        <v>106</v>
      </c>
      <c r="O23" s="443" t="s">
        <v>105</v>
      </c>
      <c r="P23" s="444"/>
      <c r="R23" s="435" t="s">
        <v>27</v>
      </c>
      <c r="S23" s="436"/>
      <c r="T23" s="355" t="str">
        <f>'Réglages pertes'!U31</f>
        <v>Quelques pertes végétation; Taux de salissure assez fort augmente en 2022</v>
      </c>
    </row>
    <row r="24" spans="1:24" x14ac:dyDescent="0.25">
      <c r="A24" s="356" t="s">
        <v>93</v>
      </c>
      <c r="B24" s="357">
        <v>307.71219054434789</v>
      </c>
      <c r="C24" s="357">
        <v>398.53361783261596</v>
      </c>
      <c r="D24" s="357">
        <v>287.80073578026116</v>
      </c>
      <c r="E24" s="357">
        <v>291.92513922424467</v>
      </c>
      <c r="F24" s="357">
        <v>465.53912688748574</v>
      </c>
      <c r="G24" s="357">
        <v>485.17521243016552</v>
      </c>
      <c r="H24" s="357">
        <v>577.2998891365753</v>
      </c>
      <c r="I24" s="357">
        <v>204.90965527457075</v>
      </c>
      <c r="J24" s="357">
        <v>264.82924630354182</v>
      </c>
      <c r="K24" s="357">
        <v>347.9665634591189</v>
      </c>
      <c r="L24" s="357">
        <v>1251.2526360181862</v>
      </c>
      <c r="M24" s="357">
        <v>819.62758118477018</v>
      </c>
      <c r="N24" s="357">
        <v>624.69701963161526</v>
      </c>
      <c r="O24" s="390">
        <v>951.27891096122141</v>
      </c>
      <c r="P24" s="384">
        <v>232.07014735003369</v>
      </c>
      <c r="R24" s="435" t="s">
        <v>29</v>
      </c>
      <c r="S24" s="436" t="s">
        <v>29</v>
      </c>
      <c r="T24" s="355" t="str">
        <f>'Réglages pertes'!U32</f>
        <v>Taux de salissure assez faible augmente en 2022</v>
      </c>
    </row>
    <row r="25" spans="1:24" x14ac:dyDescent="0.25">
      <c r="A25" s="402" t="s">
        <v>94</v>
      </c>
      <c r="B25" s="359">
        <v>406.14784397678886</v>
      </c>
      <c r="C25" s="349">
        <v>630.2523492478756</v>
      </c>
      <c r="D25" s="349">
        <v>424.09237547474686</v>
      </c>
      <c r="E25" s="349">
        <v>449.05424587910392</v>
      </c>
      <c r="F25" s="349">
        <v>688.37379999128234</v>
      </c>
      <c r="G25" s="349">
        <v>693.83095899541468</v>
      </c>
      <c r="H25" s="359">
        <v>832.8645423455738</v>
      </c>
      <c r="I25" s="349">
        <v>306.15808387872084</v>
      </c>
      <c r="J25" s="349">
        <v>386.65641807049695</v>
      </c>
      <c r="K25" s="349">
        <v>520.26601506979546</v>
      </c>
      <c r="L25" s="349">
        <v>1874.8213214735852</v>
      </c>
      <c r="M25" s="349">
        <v>1149.4476653143772</v>
      </c>
      <c r="N25" s="349">
        <v>882.04684925671052</v>
      </c>
      <c r="O25" s="390">
        <v>1340.8119443946587</v>
      </c>
      <c r="P25" s="384">
        <v>326.98201496264647</v>
      </c>
      <c r="R25" s="435" t="s">
        <v>31</v>
      </c>
      <c r="S25" s="436" t="s">
        <v>31</v>
      </c>
      <c r="T25" s="355" t="str">
        <f>'Réglages pertes'!U33</f>
        <v>Taux de salissure assez faible augmente en 2022</v>
      </c>
    </row>
    <row r="26" spans="1:24" x14ac:dyDescent="0.25">
      <c r="A26" s="358" t="s">
        <v>95</v>
      </c>
      <c r="B26" s="359">
        <v>417.50458880240706</v>
      </c>
      <c r="C26" s="393">
        <v>771.77127387825226</v>
      </c>
      <c r="D26" s="359">
        <v>461.69268015542883</v>
      </c>
      <c r="E26" s="359">
        <v>500.57845410674616</v>
      </c>
      <c r="F26" s="393">
        <v>764.75847598716405</v>
      </c>
      <c r="G26" s="393">
        <v>774.27178513546403</v>
      </c>
      <c r="H26" s="393">
        <v>855.34183341064522</v>
      </c>
      <c r="I26" s="359">
        <v>339.96999411002605</v>
      </c>
      <c r="J26" s="359">
        <v>439.21629392554672</v>
      </c>
      <c r="K26" s="359">
        <v>584.85920880445622</v>
      </c>
      <c r="L26" s="359">
        <v>2078.8789989888533</v>
      </c>
      <c r="M26" s="359">
        <v>1217.4727773009772</v>
      </c>
      <c r="N26" s="359">
        <v>974.08004332440282</v>
      </c>
      <c r="O26" s="391">
        <v>1419.0438730030526</v>
      </c>
      <c r="P26" s="383">
        <v>346.33513229161952</v>
      </c>
      <c r="R26" s="435" t="s">
        <v>32</v>
      </c>
      <c r="S26" s="436" t="s">
        <v>32</v>
      </c>
      <c r="T26" s="355" t="str">
        <f>'Réglages pertes'!U34</f>
        <v>Faible taux de pertes PV et de salissure</v>
      </c>
    </row>
    <row r="27" spans="1:24" x14ac:dyDescent="0.25">
      <c r="A27" s="360" t="s">
        <v>96</v>
      </c>
      <c r="B27" s="361">
        <v>383.5771070600772</v>
      </c>
      <c r="C27" s="361">
        <v>737.44490032146132</v>
      </c>
      <c r="D27" s="361">
        <v>422.96729603879476</v>
      </c>
      <c r="E27" s="361">
        <v>480.63365159641324</v>
      </c>
      <c r="F27" s="361">
        <v>710.39151578592407</v>
      </c>
      <c r="G27" s="361">
        <v>733.58529538136838</v>
      </c>
      <c r="H27" s="361">
        <v>834.1454428798412</v>
      </c>
      <c r="I27" s="361">
        <v>331.54513228001707</v>
      </c>
      <c r="J27" s="361">
        <v>428.33199044606437</v>
      </c>
      <c r="K27" s="361">
        <v>570.36570023148704</v>
      </c>
      <c r="L27" s="361">
        <v>2034.2325815875743</v>
      </c>
      <c r="M27" s="361">
        <v>1194.2664930829749</v>
      </c>
      <c r="N27" s="361">
        <v>953.16050725824891</v>
      </c>
      <c r="O27" s="392">
        <v>1389.6436316174281</v>
      </c>
      <c r="P27" s="385">
        <v>338.89717034937098</v>
      </c>
      <c r="R27" s="435" t="s">
        <v>34</v>
      </c>
      <c r="S27" s="436" t="s">
        <v>34</v>
      </c>
      <c r="T27" s="362" t="str">
        <f>'Réglages pertes'!U35</f>
        <v>Fort taux de perte PV + 1/3 module; salissures assez fortes: 2eme position</v>
      </c>
    </row>
    <row r="28" spans="1:24" s="365" customFormat="1" x14ac:dyDescent="0.25">
      <c r="A28" s="363" t="s">
        <v>97</v>
      </c>
      <c r="B28" s="364">
        <f>[1]Recap!$M$32</f>
        <v>2</v>
      </c>
      <c r="C28" s="364">
        <f>[2]Recap!$M$32</f>
        <v>2</v>
      </c>
      <c r="D28" s="364">
        <f>[3]Recap!$M$32</f>
        <v>2</v>
      </c>
      <c r="E28" s="364">
        <f>[4]Recap!$M$32</f>
        <v>2</v>
      </c>
      <c r="F28" s="364">
        <f>[5]Recap!$M$32</f>
        <v>2</v>
      </c>
      <c r="G28" s="364">
        <f>[6]Recap!$M$32</f>
        <v>2</v>
      </c>
      <c r="H28" s="364">
        <f>[7]Recap!$M$32</f>
        <v>2</v>
      </c>
      <c r="I28" s="364">
        <f>[8]Recap!$M$32</f>
        <v>2</v>
      </c>
      <c r="J28" s="364">
        <f>[9]Recap!$M$32</f>
        <v>2</v>
      </c>
      <c r="K28" s="364">
        <f>[10]Recap!$M$32</f>
        <v>2</v>
      </c>
      <c r="L28" s="364">
        <f>[11]Recap!$M$32</f>
        <v>2</v>
      </c>
      <c r="M28" s="364">
        <f>[12]Recap!$M$32</f>
        <v>2</v>
      </c>
      <c r="N28" s="364">
        <f>[13]Recap!$M$32</f>
        <v>2</v>
      </c>
      <c r="O28" s="364">
        <f>[14]Recap!$M$32</f>
        <v>2</v>
      </c>
      <c r="P28" s="364">
        <f>[15]Recap!$M$32</f>
        <v>2</v>
      </c>
      <c r="R28" s="435" t="s">
        <v>36</v>
      </c>
      <c r="S28" s="436" t="s">
        <v>36</v>
      </c>
      <c r="T28" s="355" t="str">
        <f>'Réglages pertes'!U36</f>
        <v>RAS</v>
      </c>
    </row>
    <row r="29" spans="1:24" x14ac:dyDescent="0.25">
      <c r="A29" s="366" t="s">
        <v>107</v>
      </c>
      <c r="B29" s="367">
        <f>[1]Recap!$N$32</f>
        <v>406.14784397678886</v>
      </c>
      <c r="C29" s="367">
        <f>[2]Recap!$N$32</f>
        <v>630.2523492478756</v>
      </c>
      <c r="D29" s="367">
        <f>[3]Recap!$N$32</f>
        <v>424.09237547474686</v>
      </c>
      <c r="E29" s="367">
        <f>[4]Recap!$N$32</f>
        <v>449.05424587910392</v>
      </c>
      <c r="F29" s="367">
        <f>[5]Recap!$N$32</f>
        <v>688.37379999128234</v>
      </c>
      <c r="G29" s="367">
        <f>[6]Recap!$N$32</f>
        <v>693.83095899541468</v>
      </c>
      <c r="H29" s="367">
        <f>[7]Recap!$N$32</f>
        <v>832.8645423455738</v>
      </c>
      <c r="I29" s="367">
        <f>[8]Recap!$N$32</f>
        <v>297.91001565292231</v>
      </c>
      <c r="J29" s="367">
        <f>[9]Recap!$N$32</f>
        <v>384.75895068749111</v>
      </c>
      <c r="K29" s="367">
        <f>[10]Recap!$N$32</f>
        <v>520.26601506979546</v>
      </c>
      <c r="L29" s="367">
        <f>[11]Recap!$N$32</f>
        <v>1874.8213214735852</v>
      </c>
      <c r="M29" s="367">
        <f>[12]Recap!$N$32</f>
        <v>1149.4476653143772</v>
      </c>
      <c r="N29" s="367">
        <f>[13]Recap!$N$32</f>
        <v>882.04684925671052</v>
      </c>
      <c r="O29" s="367">
        <f>[14]Recap!$N$32</f>
        <v>1340.8119443946587</v>
      </c>
      <c r="P29" s="367">
        <f>[15]Recap!$N$32</f>
        <v>326.98201496264647</v>
      </c>
      <c r="R29" s="435" t="s">
        <v>38</v>
      </c>
      <c r="S29" s="436" t="s">
        <v>38</v>
      </c>
      <c r="T29" s="362" t="str">
        <f>'Réglages pertes'!U37</f>
        <v>Taux PV salissure et végétation sont les plus élevés!</v>
      </c>
    </row>
    <row r="30" spans="1:24" x14ac:dyDescent="0.25">
      <c r="R30" s="435" t="s">
        <v>40</v>
      </c>
      <c r="S30" s="436" t="s">
        <v>40</v>
      </c>
      <c r="T30" s="355" t="str">
        <f>'Réglages pertes'!U38</f>
        <v>Augmentation salissures depuis 2021 effacé par nettoyage 22</v>
      </c>
    </row>
    <row r="31" spans="1:24" x14ac:dyDescent="0.25">
      <c r="R31" s="435" t="s">
        <v>42</v>
      </c>
      <c r="S31" s="436" t="s">
        <v>42</v>
      </c>
      <c r="T31" s="355" t="str">
        <f>'Réglages pertes'!U39</f>
        <v>Légère augmentation taux de salissure en 2022 effacé par nettoyage 22</v>
      </c>
    </row>
    <row r="32" spans="1:24" x14ac:dyDescent="0.25">
      <c r="R32" s="435" t="s">
        <v>44</v>
      </c>
      <c r="S32" s="436" t="s">
        <v>45</v>
      </c>
      <c r="T32" s="355" t="str">
        <f>'Réglages pertes'!U40</f>
        <v>Forte augmentation salissures en 2021-22  effacé par nettoyage 22</v>
      </c>
    </row>
    <row r="33" spans="18:20" x14ac:dyDescent="0.25">
      <c r="R33" s="435" t="s">
        <v>47</v>
      </c>
      <c r="S33" s="436" t="s">
        <v>47</v>
      </c>
      <c r="T33" s="355" t="str">
        <f>'Réglages pertes'!U41</f>
        <v>Augmentation taux de salissure en 2022 effacé par nettoyage 22</v>
      </c>
    </row>
    <row r="34" spans="18:20" x14ac:dyDescent="0.25">
      <c r="R34" s="435" t="s">
        <v>49</v>
      </c>
      <c r="S34" s="436" t="s">
        <v>49</v>
      </c>
      <c r="T34" s="355" t="str">
        <f>'Réglages pertes'!U42</f>
        <v>Fort taux de salissure en 2021-22 effacé par nettoyage 22</v>
      </c>
    </row>
    <row r="35" spans="18:20" x14ac:dyDescent="0.25">
      <c r="R35" s="435" t="s">
        <v>51</v>
      </c>
      <c r="S35" s="436" t="s">
        <v>51</v>
      </c>
      <c r="T35" s="355" t="str">
        <f>'Réglages pertes'!U43</f>
        <v>Taux de salissure initialement le plus faible augmente en 2022</v>
      </c>
    </row>
  </sheetData>
  <mergeCells count="16">
    <mergeCell ref="R22:S22"/>
    <mergeCell ref="T22:X22"/>
    <mergeCell ref="R23:S23"/>
    <mergeCell ref="R24:S24"/>
    <mergeCell ref="R25:S25"/>
    <mergeCell ref="O23:P23"/>
    <mergeCell ref="R33:S33"/>
    <mergeCell ref="R34:S34"/>
    <mergeCell ref="R35:S35"/>
    <mergeCell ref="R27:S27"/>
    <mergeCell ref="R28:S28"/>
    <mergeCell ref="R29:S29"/>
    <mergeCell ref="R30:S30"/>
    <mergeCell ref="R31:S31"/>
    <mergeCell ref="R32:S32"/>
    <mergeCell ref="R26:S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9"/>
  <sheetViews>
    <sheetView workbookViewId="0"/>
  </sheetViews>
  <sheetFormatPr baseColWidth="10" defaultRowHeight="15" x14ac:dyDescent="0.25"/>
  <cols>
    <col min="1" max="1" width="9.5703125" customWidth="1"/>
    <col min="2" max="16" width="8.42578125" customWidth="1"/>
    <col min="17" max="17" width="6.42578125" style="271" customWidth="1"/>
    <col min="18" max="18" width="1.42578125" style="4" customWidth="1"/>
    <col min="19" max="19" width="6.85546875" style="275" customWidth="1"/>
    <col min="20" max="20" width="8.28515625" customWidth="1"/>
    <col min="21" max="35" width="8.42578125" style="274" customWidth="1"/>
  </cols>
  <sheetData>
    <row r="1" spans="1:35" ht="18.75" x14ac:dyDescent="0.3">
      <c r="A1" s="1" t="s">
        <v>71</v>
      </c>
      <c r="S1" s="272" t="s">
        <v>72</v>
      </c>
      <c r="T1" s="273">
        <v>15</v>
      </c>
    </row>
    <row r="3" spans="1:35" ht="33.75" x14ac:dyDescent="0.25">
      <c r="A3" s="276" t="s">
        <v>73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T3" s="277" t="s">
        <v>73</v>
      </c>
      <c r="U3" s="12" t="s">
        <v>5</v>
      </c>
      <c r="V3" s="12" t="s">
        <v>6</v>
      </c>
      <c r="W3" s="12" t="s">
        <v>7</v>
      </c>
      <c r="X3" s="12" t="s">
        <v>8</v>
      </c>
      <c r="Y3" s="12" t="s">
        <v>9</v>
      </c>
      <c r="Z3" s="12" t="s">
        <v>10</v>
      </c>
      <c r="AA3" s="12" t="s">
        <v>11</v>
      </c>
      <c r="AB3" s="12" t="s">
        <v>12</v>
      </c>
      <c r="AC3" s="12" t="s">
        <v>13</v>
      </c>
      <c r="AD3" s="12" t="s">
        <v>14</v>
      </c>
      <c r="AE3" s="12" t="s">
        <v>15</v>
      </c>
      <c r="AF3" s="12" t="s">
        <v>16</v>
      </c>
      <c r="AG3" s="12" t="s">
        <v>17</v>
      </c>
      <c r="AH3" s="12" t="s">
        <v>18</v>
      </c>
      <c r="AI3" s="12" t="s">
        <v>19</v>
      </c>
    </row>
    <row r="4" spans="1:35" s="274" customFormat="1" ht="11.25" x14ac:dyDescent="0.2">
      <c r="A4" s="278" t="s">
        <v>74</v>
      </c>
      <c r="B4" s="279">
        <f t="shared" ref="B4:P4" si="0">+MIN(B8:B19)</f>
        <v>0.70799724949077902</v>
      </c>
      <c r="C4" s="279">
        <f t="shared" si="0"/>
        <v>0.84000552048708232</v>
      </c>
      <c r="D4" s="279">
        <f>+MIN(D8:D19)</f>
        <v>0.92015809250268488</v>
      </c>
      <c r="E4" s="279">
        <f t="shared" si="0"/>
        <v>0.97677937868683729</v>
      </c>
      <c r="F4" s="279">
        <f t="shared" si="0"/>
        <v>0.63163467130034812</v>
      </c>
      <c r="G4" s="279">
        <f t="shared" si="0"/>
        <v>0.75818491151317824</v>
      </c>
      <c r="H4" s="279">
        <f t="shared" si="0"/>
        <v>0.69609386409243679</v>
      </c>
      <c r="I4" s="279">
        <f t="shared" si="0"/>
        <v>0.98740600117205024</v>
      </c>
      <c r="J4" s="279">
        <f t="shared" si="0"/>
        <v>1.0201779787755123</v>
      </c>
      <c r="K4" s="279">
        <f t="shared" si="0"/>
        <v>0.99761792623290046</v>
      </c>
      <c r="L4" s="279">
        <f t="shared" si="0"/>
        <v>1.0435887551849303</v>
      </c>
      <c r="M4" s="279">
        <f t="shared" si="0"/>
        <v>1.0422793311830363</v>
      </c>
      <c r="N4" s="280">
        <f t="shared" si="0"/>
        <v>1.0723286917245025</v>
      </c>
      <c r="O4" s="280">
        <f t="shared" si="0"/>
        <v>1.0306161787635744</v>
      </c>
      <c r="P4" s="280">
        <f t="shared" si="0"/>
        <v>0.78439932539356028</v>
      </c>
      <c r="Q4" s="281"/>
      <c r="T4" s="282" t="s">
        <v>74</v>
      </c>
      <c r="U4" s="283">
        <f t="shared" ref="U4:AI4" si="1">+MIN(U8:U19)</f>
        <v>1.7336989716275146</v>
      </c>
      <c r="V4" s="283">
        <f t="shared" si="1"/>
        <v>2.6325249932989419</v>
      </c>
      <c r="W4" s="283">
        <f>+MIN(W8:W19)</f>
        <v>2.6056088428202466</v>
      </c>
      <c r="X4" s="283">
        <f t="shared" si="1"/>
        <v>2.5559110167439218</v>
      </c>
      <c r="Y4" s="283">
        <f t="shared" si="1"/>
        <v>1.5950445262729123</v>
      </c>
      <c r="Z4" s="283">
        <f t="shared" si="1"/>
        <v>1.8641624189385739</v>
      </c>
      <c r="AA4" s="283">
        <f t="shared" si="1"/>
        <v>1.7059313466855124</v>
      </c>
      <c r="AB4" s="283">
        <f t="shared" si="1"/>
        <v>2.7130394363885131</v>
      </c>
      <c r="AC4" s="283">
        <f t="shared" si="1"/>
        <v>2.5787510049751856</v>
      </c>
      <c r="AD4" s="283">
        <f t="shared" si="1"/>
        <v>2.9581037863221691</v>
      </c>
      <c r="AE4" s="283">
        <f t="shared" si="1"/>
        <v>2.7627363117523869</v>
      </c>
      <c r="AF4" s="283">
        <f t="shared" si="1"/>
        <v>2.8286008827399769</v>
      </c>
      <c r="AG4" s="283">
        <f t="shared" si="1"/>
        <v>2.9319152759041005</v>
      </c>
      <c r="AH4" s="283">
        <f t="shared" si="1"/>
        <v>2.6391249925482336</v>
      </c>
      <c r="AI4" s="283">
        <f t="shared" si="1"/>
        <v>1.9108614027620487</v>
      </c>
    </row>
    <row r="5" spans="1:35" s="274" customFormat="1" ht="11.25" x14ac:dyDescent="0.2">
      <c r="A5" s="284" t="s">
        <v>75</v>
      </c>
      <c r="B5" s="279">
        <f t="shared" ref="B5:P5" si="2">+AVERAGE(B8:B19)</f>
        <v>0.9413512170553332</v>
      </c>
      <c r="C5" s="279">
        <f t="shared" si="2"/>
        <v>0.965534828901219</v>
      </c>
      <c r="D5" s="279">
        <f>+AVERAGE(D8:D19)</f>
        <v>1.0062606750668406</v>
      </c>
      <c r="E5" s="279">
        <f t="shared" si="2"/>
        <v>1.0125152629266181</v>
      </c>
      <c r="F5" s="279">
        <f t="shared" si="2"/>
        <v>0.75393646991818708</v>
      </c>
      <c r="G5" s="279">
        <f t="shared" si="2"/>
        <v>0.8907449828249433</v>
      </c>
      <c r="H5" s="279">
        <f t="shared" si="2"/>
        <v>0.8621271821015114</v>
      </c>
      <c r="I5" s="279">
        <f t="shared" si="2"/>
        <v>1.0583805251307912</v>
      </c>
      <c r="J5" s="279">
        <f t="shared" si="2"/>
        <v>1.0499417489716947</v>
      </c>
      <c r="K5" s="279">
        <f t="shared" si="2"/>
        <v>1.1059978805010866</v>
      </c>
      <c r="L5" s="279">
        <f t="shared" si="2"/>
        <v>1.085615621028154</v>
      </c>
      <c r="M5" s="279">
        <f t="shared" si="2"/>
        <v>1.1040123228783076</v>
      </c>
      <c r="N5" s="280">
        <f t="shared" si="2"/>
        <v>1.1435657144382323</v>
      </c>
      <c r="O5" s="280">
        <f t="shared" si="2"/>
        <v>1.0712533517066254</v>
      </c>
      <c r="P5" s="280">
        <f t="shared" si="2"/>
        <v>0.96516687127705281</v>
      </c>
      <c r="Q5" s="281"/>
      <c r="T5" s="285" t="s">
        <v>75</v>
      </c>
      <c r="U5" s="283">
        <f t="shared" ref="U5:AI5" si="3">+AVERAGE(U8:U19)</f>
        <v>4.5989782681214768</v>
      </c>
      <c r="V5" s="283">
        <f t="shared" si="3"/>
        <v>4.4332701074049066</v>
      </c>
      <c r="W5" s="283">
        <f>+AVERAGE(W8:W19)</f>
        <v>4.6621066416522581</v>
      </c>
      <c r="X5" s="283">
        <f t="shared" si="3"/>
        <v>4.7295150786473021</v>
      </c>
      <c r="Y5" s="283">
        <f t="shared" si="3"/>
        <v>3.7144030380278408</v>
      </c>
      <c r="Z5" s="283">
        <f t="shared" si="3"/>
        <v>4.3634415606295169</v>
      </c>
      <c r="AA5" s="283">
        <f t="shared" si="3"/>
        <v>4.2406836902751071</v>
      </c>
      <c r="AB5" s="283">
        <f t="shared" si="3"/>
        <v>4.8972217153731359</v>
      </c>
      <c r="AC5" s="283">
        <f t="shared" si="3"/>
        <v>4.909881139377906</v>
      </c>
      <c r="AD5" s="283">
        <f t="shared" si="3"/>
        <v>5.0639943071485973</v>
      </c>
      <c r="AE5" s="283">
        <f t="shared" si="3"/>
        <v>5.0442688610020747</v>
      </c>
      <c r="AF5" s="283">
        <f t="shared" si="3"/>
        <v>5.1114458813837835</v>
      </c>
      <c r="AG5" s="283">
        <f t="shared" si="3"/>
        <v>5.2715961857595603</v>
      </c>
      <c r="AH5" s="283">
        <f t="shared" si="3"/>
        <v>4.9970395931600544</v>
      </c>
      <c r="AI5" s="283">
        <f t="shared" si="3"/>
        <v>4.6897088128144544</v>
      </c>
    </row>
    <row r="6" spans="1:35" s="274" customFormat="1" ht="11.25" x14ac:dyDescent="0.2">
      <c r="A6" s="284" t="s">
        <v>76</v>
      </c>
      <c r="B6" s="279">
        <f t="shared" ref="B6:P6" si="4">+MAX(B8:B19)</f>
        <v>1.0594990736120857</v>
      </c>
      <c r="C6" s="279">
        <f t="shared" si="4"/>
        <v>1.1074760856246237</v>
      </c>
      <c r="D6" s="279">
        <f>+MAX(D8:D19)</f>
        <v>1.0918311917198815</v>
      </c>
      <c r="E6" s="279">
        <f>+MAX(E8:E19)</f>
        <v>1.0694155053426873</v>
      </c>
      <c r="F6" s="279">
        <f t="shared" si="4"/>
        <v>0.85060457418435687</v>
      </c>
      <c r="G6" s="279">
        <f t="shared" si="4"/>
        <v>1.0329616173057437</v>
      </c>
      <c r="H6" s="279">
        <f t="shared" si="4"/>
        <v>0.98525247625511914</v>
      </c>
      <c r="I6" s="279">
        <f t="shared" si="4"/>
        <v>1.1405152610952658</v>
      </c>
      <c r="J6" s="279">
        <f t="shared" si="4"/>
        <v>1.0797089692662278</v>
      </c>
      <c r="K6" s="279">
        <f t="shared" si="4"/>
        <v>1.2527546727928842</v>
      </c>
      <c r="L6" s="279">
        <f t="shared" si="4"/>
        <v>1.1631426928797479</v>
      </c>
      <c r="M6" s="279">
        <f t="shared" si="4"/>
        <v>1.1932358444114841</v>
      </c>
      <c r="N6" s="286">
        <f t="shared" si="4"/>
        <v>1.2406809901038875</v>
      </c>
      <c r="O6" s="286">
        <f t="shared" si="4"/>
        <v>1.1069859910615543</v>
      </c>
      <c r="P6" s="286">
        <f t="shared" si="4"/>
        <v>1.0833779647337463</v>
      </c>
      <c r="Q6" s="281"/>
      <c r="T6" s="285" t="s">
        <v>76</v>
      </c>
      <c r="U6" s="283">
        <f t="shared" ref="U6:AI6" si="5">+MAX(U8:U19)</f>
        <v>6.78331037377803</v>
      </c>
      <c r="V6" s="283">
        <f t="shared" si="5"/>
        <v>5.6429609694343403</v>
      </c>
      <c r="W6" s="283">
        <f>+MAX(W8:W19)</f>
        <v>6.0566399917306768</v>
      </c>
      <c r="X6" s="283">
        <f t="shared" si="5"/>
        <v>6.3384934680403653</v>
      </c>
      <c r="Y6" s="283">
        <f t="shared" si="5"/>
        <v>5.531686048448976</v>
      </c>
      <c r="Z6" s="283">
        <f t="shared" si="5"/>
        <v>6.6361100558380519</v>
      </c>
      <c r="AA6" s="283">
        <f t="shared" si="5"/>
        <v>6.3497615215731651</v>
      </c>
      <c r="AB6" s="283">
        <f t="shared" si="5"/>
        <v>6.4353350195416406</v>
      </c>
      <c r="AC6" s="283">
        <f t="shared" si="5"/>
        <v>6.6078559421467009</v>
      </c>
      <c r="AD6" s="283">
        <f t="shared" si="5"/>
        <v>6.5188933284789528</v>
      </c>
      <c r="AE6" s="283">
        <f t="shared" si="5"/>
        <v>6.7625649348314214</v>
      </c>
      <c r="AF6" s="283">
        <f t="shared" si="5"/>
        <v>6.7920844291079412</v>
      </c>
      <c r="AG6" s="283">
        <f t="shared" si="5"/>
        <v>6.9046414316122009</v>
      </c>
      <c r="AH6" s="283">
        <f t="shared" si="5"/>
        <v>6.7103429532791008</v>
      </c>
      <c r="AI6" s="283">
        <f t="shared" si="5"/>
        <v>6.9367385877358636</v>
      </c>
    </row>
    <row r="7" spans="1:35" ht="38.25" x14ac:dyDescent="0.25">
      <c r="A7" s="287" t="s">
        <v>77</v>
      </c>
      <c r="B7" s="288" t="s">
        <v>78</v>
      </c>
      <c r="C7" s="288" t="s">
        <v>78</v>
      </c>
      <c r="D7" s="288" t="s">
        <v>78</v>
      </c>
      <c r="E7" s="288" t="s">
        <v>78</v>
      </c>
      <c r="F7" s="288" t="s">
        <v>78</v>
      </c>
      <c r="G7" s="288" t="s">
        <v>78</v>
      </c>
      <c r="H7" s="288" t="s">
        <v>78</v>
      </c>
      <c r="I7" s="288" t="s">
        <v>78</v>
      </c>
      <c r="J7" s="288" t="s">
        <v>78</v>
      </c>
      <c r="K7" s="288" t="s">
        <v>78</v>
      </c>
      <c r="L7" s="288" t="s">
        <v>78</v>
      </c>
      <c r="M7" s="288" t="s">
        <v>78</v>
      </c>
      <c r="N7" s="288" t="s">
        <v>78</v>
      </c>
      <c r="O7" s="288" t="s">
        <v>78</v>
      </c>
      <c r="P7" s="288" t="s">
        <v>78</v>
      </c>
      <c r="Q7" s="271" t="s">
        <v>79</v>
      </c>
      <c r="S7" s="289" t="s">
        <v>77</v>
      </c>
      <c r="T7" s="290" t="s">
        <v>80</v>
      </c>
      <c r="U7" s="291" t="s">
        <v>81</v>
      </c>
      <c r="V7" s="291" t="s">
        <v>81</v>
      </c>
      <c r="W7" s="291" t="s">
        <v>81</v>
      </c>
      <c r="X7" s="291" t="s">
        <v>81</v>
      </c>
      <c r="Y7" s="291" t="s">
        <v>81</v>
      </c>
      <c r="Z7" s="291" t="s">
        <v>81</v>
      </c>
      <c r="AA7" s="291" t="s">
        <v>81</v>
      </c>
      <c r="AB7" s="291" t="s">
        <v>81</v>
      </c>
      <c r="AC7" s="291" t="s">
        <v>81</v>
      </c>
      <c r="AD7" s="291" t="s">
        <v>81</v>
      </c>
      <c r="AE7" s="291" t="s">
        <v>81</v>
      </c>
      <c r="AF7" s="291" t="s">
        <v>81</v>
      </c>
      <c r="AG7" s="291" t="s">
        <v>81</v>
      </c>
      <c r="AH7" s="291" t="s">
        <v>81</v>
      </c>
      <c r="AI7" s="291" t="s">
        <v>81</v>
      </c>
    </row>
    <row r="8" spans="1:35" s="300" customFormat="1" x14ac:dyDescent="0.25">
      <c r="A8" s="292">
        <v>44941</v>
      </c>
      <c r="B8" s="293">
        <f>+U8/($T8-U8)*(Nserv-1)</f>
        <v>0.79966213285297982</v>
      </c>
      <c r="C8" s="294">
        <f t="shared" ref="C8:C19" si="6">+V8/($T8-V8)*(Nserv-1)</f>
        <v>1.1074760856246237</v>
      </c>
      <c r="D8" s="294">
        <f t="shared" ref="D8:D19" si="7">+W8/($T8-W8)*(Nserv-1)</f>
        <v>1.0769806202383105</v>
      </c>
      <c r="E8" s="294">
        <f t="shared" ref="E8:E19" si="8">+X8/($T8-X8)*(Nserv-1)</f>
        <v>1.065967952482227</v>
      </c>
      <c r="F8" s="294">
        <f t="shared" ref="F8:F19" si="9">+Y8/($T8-Y8)*(Nserv-1)</f>
        <v>0.68616153325323048</v>
      </c>
      <c r="G8" s="294">
        <f t="shared" ref="G8:G19" si="10">+Z8/($T8-Z8)*(Nserv-1)</f>
        <v>0.75818491151317824</v>
      </c>
      <c r="H8" s="294">
        <f t="shared" ref="H8:H19" si="11">+AA8/($T8-AA8)*(Nserv-1)</f>
        <v>0.7270238016900672</v>
      </c>
      <c r="I8" s="294">
        <f t="shared" ref="I8:I19" si="12">+AB8/($T8-AB8)*(Nserv-1)</f>
        <v>1.1342236715199194</v>
      </c>
      <c r="J8" s="294">
        <f t="shared" ref="J8:J19" si="13">+AC8/($T8-AC8)*(Nserv-1)</f>
        <v>1.0711722432862674</v>
      </c>
      <c r="K8" s="294">
        <f t="shared" ref="K8:K19" si="14">+AD8/($T8-AD8)*(Nserv-1)</f>
        <v>1.2215997201853348</v>
      </c>
      <c r="L8" s="294">
        <f t="shared" ref="L8:L19" si="15">+AE8/($T8-AE8)*(Nserv-1)</f>
        <v>1.1241288383645665</v>
      </c>
      <c r="M8" s="294">
        <f t="shared" ref="M8:M19" si="16">+AF8/($T8-AF8)*(Nserv-1)</f>
        <v>1.1581513511442902</v>
      </c>
      <c r="N8" s="294">
        <f>+AG8/($T8-AG8)*(Nserv-1)</f>
        <v>1.1939195986235536</v>
      </c>
      <c r="O8" s="294">
        <f>+AH8/($T8-AH8)*(Nserv-1)</f>
        <v>1.0984148438197296</v>
      </c>
      <c r="P8" s="295">
        <f>+AI8/($T8-AI8)*(Nserv-1)</f>
        <v>0.80980033851138877</v>
      </c>
      <c r="Q8" s="271">
        <f>AVERAGE(B8:P8)</f>
        <v>1.002191176207311</v>
      </c>
      <c r="R8" s="296"/>
      <c r="S8" s="297">
        <v>44941</v>
      </c>
      <c r="T8" s="298">
        <f>SUM(U8:AI8)</f>
        <v>42.123879630210418</v>
      </c>
      <c r="U8" s="299">
        <f>[1]Recap!$B$66</f>
        <v>2.2760567860776364</v>
      </c>
      <c r="V8" s="299">
        <f>[2]Recap!$B$66</f>
        <v>3.0879538752723068</v>
      </c>
      <c r="W8" s="299">
        <f>[3]Recap!$B$66</f>
        <v>3.0089978327683808</v>
      </c>
      <c r="X8" s="299">
        <f>[4]Recap!$B$66</f>
        <v>2.980406294613493</v>
      </c>
      <c r="Y8" s="299">
        <f>[5]Recap!$B$66</f>
        <v>1.9680966853179527</v>
      </c>
      <c r="Z8" s="299">
        <f>[6]Recap!$B$66</f>
        <v>2.1640662548622478</v>
      </c>
      <c r="AA8" s="299">
        <f>[7]Recap!$B$66</f>
        <v>2.07951474263088</v>
      </c>
      <c r="AB8" s="299">
        <f>[8]Recap!$B$65</f>
        <v>3.1569443170547582</v>
      </c>
      <c r="AC8" s="299">
        <f>[9]Recap!$B$65</f>
        <v>2.993923094437037</v>
      </c>
      <c r="AD8" s="299">
        <f>[10]Recap!$B$65</f>
        <v>3.3806249353112818</v>
      </c>
      <c r="AE8" s="299">
        <f>[11]Recap!$B$64</f>
        <v>3.1309352348282227</v>
      </c>
      <c r="AF8" s="299">
        <f>[12]Recap!$B$64</f>
        <v>3.2184550067501996</v>
      </c>
      <c r="AG8" s="299">
        <f>[13]Recap!$B$64</f>
        <v>3.3100428848605858</v>
      </c>
      <c r="AH8" s="299">
        <f>[14]Recap!$B$62</f>
        <v>3.0645266502289989</v>
      </c>
      <c r="AI8" s="299">
        <f>[15]Recap!$B$62</f>
        <v>2.303335035196441</v>
      </c>
    </row>
    <row r="9" spans="1:35" s="300" customFormat="1" x14ac:dyDescent="0.25">
      <c r="A9" s="301">
        <v>44972</v>
      </c>
      <c r="B9" s="302">
        <f t="shared" ref="B9:B19" si="17">+U9/($T9-U9)*(Nserv-1)</f>
        <v>0.89948485953007418</v>
      </c>
      <c r="C9" s="303">
        <f t="shared" si="6"/>
        <v>1.0469859953042078</v>
      </c>
      <c r="D9" s="303">
        <f t="shared" si="7"/>
        <v>1.0560520980613839</v>
      </c>
      <c r="E9" s="303">
        <f t="shared" si="8"/>
        <v>1.0314246372894371</v>
      </c>
      <c r="F9" s="303">
        <f t="shared" si="9"/>
        <v>0.71001916674770282</v>
      </c>
      <c r="G9" s="303">
        <f t="shared" si="10"/>
        <v>0.78294767915018215</v>
      </c>
      <c r="H9" s="303">
        <f t="shared" si="11"/>
        <v>0.79920360717435113</v>
      </c>
      <c r="I9" s="303">
        <f t="shared" si="12"/>
        <v>1.1112381160210711</v>
      </c>
      <c r="J9" s="303">
        <f t="shared" si="13"/>
        <v>1.0649073900439103</v>
      </c>
      <c r="K9" s="303">
        <f t="shared" si="14"/>
        <v>1.1746083932623184</v>
      </c>
      <c r="L9" s="303">
        <f t="shared" si="15"/>
        <v>1.0941466990155277</v>
      </c>
      <c r="M9" s="303">
        <f t="shared" si="16"/>
        <v>1.1114775822210767</v>
      </c>
      <c r="N9" s="303">
        <f t="shared" ref="N9:N19" si="18">+AG9/($T9-AG9)*(Nserv-1)</f>
        <v>1.160385014567513</v>
      </c>
      <c r="O9" s="303">
        <f t="shared" ref="O9:O19" si="19">+AH9/($T9-AH9)*(Nserv-1)</f>
        <v>1.0888712812053516</v>
      </c>
      <c r="P9" s="304">
        <f t="shared" ref="P9:P19" si="20">+AI9/($T9-AI9)*(Nserv-1)</f>
        <v>0.88854618759388693</v>
      </c>
      <c r="Q9" s="271">
        <f t="shared" ref="Q9:Q19" si="21">AVERAGE(B9:P9)</f>
        <v>1.0013532471458664</v>
      </c>
      <c r="R9" s="296"/>
      <c r="S9" s="297">
        <v>44972</v>
      </c>
      <c r="T9" s="298">
        <f t="shared" ref="T9:T19" si="22">SUM(U9:AI9)</f>
        <v>57.302857662440644</v>
      </c>
      <c r="U9" s="305">
        <f>[1]Recap!$C$66</f>
        <v>3.4593848955928208</v>
      </c>
      <c r="V9" s="305">
        <f>[2]Recap!$C$66</f>
        <v>3.9871964712540322</v>
      </c>
      <c r="W9" s="305">
        <f>[3]Recap!$C$66</f>
        <v>4.0193008542475201</v>
      </c>
      <c r="X9" s="305">
        <f>[4]Recap!$C$66</f>
        <v>3.9320011646473603</v>
      </c>
      <c r="Y9" s="305">
        <f>[5]Recap!$C$66</f>
        <v>2.7658786020972794</v>
      </c>
      <c r="Z9" s="305">
        <f>[6]Recap!$C$66</f>
        <v>3.0349251305785767</v>
      </c>
      <c r="AA9" s="305">
        <f>[7]Recap!$C$66</f>
        <v>3.0945347980089748</v>
      </c>
      <c r="AB9" s="305">
        <f>[8]Recap!$C$65</f>
        <v>4.2138916151366237</v>
      </c>
      <c r="AC9" s="305">
        <f>[9]Recap!$C$65</f>
        <v>4.0506214220537258</v>
      </c>
      <c r="AD9" s="305">
        <f>[10]Recap!$C$65</f>
        <v>4.4355950297936095</v>
      </c>
      <c r="AE9" s="305">
        <f>[11]Recap!$C$64</f>
        <v>4.1537778720280594</v>
      </c>
      <c r="AF9" s="305">
        <f>[12]Recap!$C$64</f>
        <v>4.2147328970623921</v>
      </c>
      <c r="AG9" s="305">
        <f>[13]Recap!$C$64</f>
        <v>4.3859952936220461</v>
      </c>
      <c r="AH9" s="305">
        <f>[14]Recap!$C$62</f>
        <v>4.1351957264920927</v>
      </c>
      <c r="AI9" s="305">
        <f>[15]Recap!$C$62</f>
        <v>3.4198258898255309</v>
      </c>
    </row>
    <row r="10" spans="1:35" s="300" customFormat="1" x14ac:dyDescent="0.25">
      <c r="A10" s="301">
        <v>45000</v>
      </c>
      <c r="B10" s="302">
        <f>+U10/($T10-U10)*(Nserv-1)</f>
        <v>0.96655286018353492</v>
      </c>
      <c r="C10" s="303">
        <f>+V10/($T10-V10)*(Nserv-1)</f>
        <v>0.97442788341394371</v>
      </c>
      <c r="D10" s="303">
        <f t="shared" si="7"/>
        <v>1.0143574267734909</v>
      </c>
      <c r="E10" s="303">
        <f>+X10/($T10-X10)*(Nserv-1)</f>
        <v>1.0044637145673181</v>
      </c>
      <c r="F10" s="303">
        <f t="shared" si="9"/>
        <v>0.76432302526377249</v>
      </c>
      <c r="G10" s="303">
        <f t="shared" si="10"/>
        <v>0.83939671254244952</v>
      </c>
      <c r="H10" s="303">
        <f t="shared" si="11"/>
        <v>0.88333343898913164</v>
      </c>
      <c r="I10" s="303">
        <f t="shared" si="12"/>
        <v>1.073929150357344</v>
      </c>
      <c r="J10" s="303">
        <f t="shared" si="13"/>
        <v>1.0516315932578839</v>
      </c>
      <c r="K10" s="303">
        <f t="shared" si="14"/>
        <v>1.1162762728125342</v>
      </c>
      <c r="L10" s="303">
        <f t="shared" si="15"/>
        <v>1.0675475787388968</v>
      </c>
      <c r="M10" s="303">
        <f t="shared" si="16"/>
        <v>1.0912512388918891</v>
      </c>
      <c r="N10" s="303">
        <f t="shared" si="18"/>
        <v>1.1324400597263111</v>
      </c>
      <c r="O10" s="303">
        <f t="shared" si="19"/>
        <v>1.0679848958027991</v>
      </c>
      <c r="P10" s="304">
        <f t="shared" si="20"/>
        <v>0.9624809558827363</v>
      </c>
      <c r="Q10" s="271">
        <f t="shared" si="21"/>
        <v>1.0006931204802689</v>
      </c>
      <c r="R10" s="296"/>
      <c r="S10" s="297">
        <v>45000</v>
      </c>
      <c r="T10" s="298">
        <f t="shared" si="22"/>
        <v>74.66297732805738</v>
      </c>
      <c r="U10" s="305">
        <f>[1]Recap!$D$66</f>
        <v>4.8217993121341438</v>
      </c>
      <c r="V10" s="305">
        <f>[2]Recap!$D$66</f>
        <v>4.8585286552246876</v>
      </c>
      <c r="W10" s="305">
        <f>[3]Recap!$D$66</f>
        <v>5.044168285396335</v>
      </c>
      <c r="X10" s="305">
        <f>[4]Recap!$D$66</f>
        <v>4.9982627153001609</v>
      </c>
      <c r="Y10" s="305">
        <f>[5]Recap!$D$66</f>
        <v>3.8651709671301879</v>
      </c>
      <c r="Z10" s="305">
        <f>[6]Recap!$D$66</f>
        <v>4.2233426959218461</v>
      </c>
      <c r="AA10" s="305">
        <f>[7]Recap!$D$66</f>
        <v>4.4312858271110489</v>
      </c>
      <c r="AB10" s="305">
        <f>[8]Recap!$D$65</f>
        <v>5.319299766190654</v>
      </c>
      <c r="AC10" s="305">
        <f>[9]Recap!$D$65</f>
        <v>5.2165737194931738</v>
      </c>
      <c r="AD10" s="305">
        <f>[10]Recap!$D$65</f>
        <v>5.5135609157098031</v>
      </c>
      <c r="AE10" s="305">
        <f>[11]Recap!$D$64</f>
        <v>5.2899305777188701</v>
      </c>
      <c r="AF10" s="305">
        <f>[12]Recap!$D$64</f>
        <v>5.3988940491976205</v>
      </c>
      <c r="AG10" s="305">
        <f>[13]Recap!$D$64</f>
        <v>5.5874231895856417</v>
      </c>
      <c r="AH10" s="305">
        <f>[14]Recap!$D$62</f>
        <v>5.291943986766503</v>
      </c>
      <c r="AI10" s="305">
        <f>[15]Recap!$D$62</f>
        <v>4.8027926651767041</v>
      </c>
    </row>
    <row r="11" spans="1:35" s="300" customFormat="1" x14ac:dyDescent="0.25">
      <c r="A11" s="301">
        <v>45031</v>
      </c>
      <c r="B11" s="302">
        <f t="shared" si="17"/>
        <v>0.97790294636978403</v>
      </c>
      <c r="C11" s="303">
        <f t="shared" si="6"/>
        <v>0.91644297176084288</v>
      </c>
      <c r="D11" s="303">
        <f t="shared" si="7"/>
        <v>0.98073787114563626</v>
      </c>
      <c r="E11" s="303">
        <f t="shared" si="8"/>
        <v>0.99931574198617101</v>
      </c>
      <c r="F11" s="303">
        <f t="shared" si="9"/>
        <v>0.82501624689961361</v>
      </c>
      <c r="G11" s="303">
        <f t="shared" si="10"/>
        <v>0.90607940996773395</v>
      </c>
      <c r="H11" s="303">
        <f t="shared" si="11"/>
        <v>0.95238374719100882</v>
      </c>
      <c r="I11" s="303">
        <f t="shared" si="12"/>
        <v>1.0344459789009754</v>
      </c>
      <c r="J11" s="303">
        <f t="shared" si="13"/>
        <v>1.0499632824623846</v>
      </c>
      <c r="K11" s="303">
        <f t="shared" si="14"/>
        <v>1.0646716947421013</v>
      </c>
      <c r="L11" s="303">
        <f t="shared" si="15"/>
        <v>1.052158493827388</v>
      </c>
      <c r="M11" s="303">
        <f t="shared" si="16"/>
        <v>1.0654397976069898</v>
      </c>
      <c r="N11" s="303">
        <f t="shared" si="18"/>
        <v>1.0975597480805728</v>
      </c>
      <c r="O11" s="303">
        <f t="shared" si="19"/>
        <v>1.0459431251942977</v>
      </c>
      <c r="P11" s="304">
        <f t="shared" si="20"/>
        <v>1.0371229689735009</v>
      </c>
      <c r="Q11" s="271">
        <f t="shared" si="21"/>
        <v>1.0003456016739334</v>
      </c>
      <c r="R11" s="296"/>
      <c r="S11" s="297">
        <v>45031</v>
      </c>
      <c r="T11" s="298">
        <f t="shared" si="22"/>
        <v>89.027719481323587</v>
      </c>
      <c r="U11" s="305">
        <f>[1]Recap!$E$66</f>
        <v>5.8125940260862698</v>
      </c>
      <c r="V11" s="305">
        <f>[2]Recap!$E$66</f>
        <v>5.4697241135178993</v>
      </c>
      <c r="W11" s="305">
        <f>[3]Recap!$E$66</f>
        <v>5.8283414894560872</v>
      </c>
      <c r="X11" s="305">
        <f>[4]Recap!$E$66</f>
        <v>5.9313906768279558</v>
      </c>
      <c r="Y11" s="305">
        <f>[5]Recap!$E$66</f>
        <v>4.954417167122755</v>
      </c>
      <c r="Z11" s="305">
        <f>[6]Recap!$E$66</f>
        <v>5.4116298001518039</v>
      </c>
      <c r="AA11" s="305">
        <f>[7]Recap!$E$66</f>
        <v>5.6705709615981137</v>
      </c>
      <c r="AB11" s="305">
        <f>[8]Recap!$E$65</f>
        <v>6.1255577064444218</v>
      </c>
      <c r="AC11" s="305">
        <f>[9]Recap!$E$65</f>
        <v>6.2110341947264169</v>
      </c>
      <c r="AD11" s="305">
        <f>[10]Recap!$E$65</f>
        <v>6.2918923757420693</v>
      </c>
      <c r="AE11" s="305">
        <f>[11]Recap!$E$64</f>
        <v>6.2231122052541172</v>
      </c>
      <c r="AF11" s="305">
        <f>[12]Recap!$E$64</f>
        <v>6.2961106147501864</v>
      </c>
      <c r="AG11" s="305">
        <f>[13]Recap!$E$64</f>
        <v>6.4721215213956809</v>
      </c>
      <c r="AH11" s="305">
        <f>[14]Recap!$E$62</f>
        <v>6.1889062299651867</v>
      </c>
      <c r="AI11" s="305">
        <f>[15]Recap!$E$62</f>
        <v>6.1403163982846189</v>
      </c>
    </row>
    <row r="12" spans="1:35" s="300" customFormat="1" x14ac:dyDescent="0.25">
      <c r="A12" s="301">
        <v>45061</v>
      </c>
      <c r="B12" s="302">
        <f t="shared" si="17"/>
        <v>1.0594990736120857</v>
      </c>
      <c r="C12" s="303">
        <f t="shared" si="6"/>
        <v>0.87031311062180516</v>
      </c>
      <c r="D12" s="303">
        <f t="shared" si="7"/>
        <v>0.93839126484887059</v>
      </c>
      <c r="E12" s="303">
        <f t="shared" si="8"/>
        <v>0.98513335932117096</v>
      </c>
      <c r="F12" s="303">
        <f t="shared" si="9"/>
        <v>0.84770204415911454</v>
      </c>
      <c r="G12" s="303">
        <f t="shared" si="10"/>
        <v>1.0261140250595375</v>
      </c>
      <c r="H12" s="303">
        <f t="shared" si="11"/>
        <v>0.97962471746757696</v>
      </c>
      <c r="I12" s="303">
        <f t="shared" si="12"/>
        <v>1.0012609854996892</v>
      </c>
      <c r="J12" s="303">
        <f t="shared" si="13"/>
        <v>1.0300781408605792</v>
      </c>
      <c r="K12" s="303">
        <f t="shared" si="14"/>
        <v>1.0152043951840748</v>
      </c>
      <c r="L12" s="303">
        <f t="shared" si="15"/>
        <v>1.0435887551849303</v>
      </c>
      <c r="M12" s="303">
        <f t="shared" si="16"/>
        <v>1.0422793311830363</v>
      </c>
      <c r="N12" s="303">
        <f t="shared" si="18"/>
        <v>1.0723286917245025</v>
      </c>
      <c r="O12" s="303">
        <f t="shared" si="19"/>
        <v>1.0306161787635744</v>
      </c>
      <c r="P12" s="304">
        <f t="shared" si="20"/>
        <v>1.0621226325670765</v>
      </c>
      <c r="Q12" s="271">
        <f t="shared" si="21"/>
        <v>1.0002837804038416</v>
      </c>
      <c r="R12" s="296"/>
      <c r="S12" s="297">
        <v>45061</v>
      </c>
      <c r="T12" s="298">
        <f t="shared" si="22"/>
        <v>96.416560272835937</v>
      </c>
      <c r="U12" s="305">
        <f>[1]Recap!$F$66</f>
        <v>6.78331037377803</v>
      </c>
      <c r="V12" s="305">
        <f>[2]Recap!$F$66</f>
        <v>5.6429609694343403</v>
      </c>
      <c r="W12" s="305">
        <f>[3]Recap!$F$66</f>
        <v>6.0566399917306768</v>
      </c>
      <c r="X12" s="305">
        <f>[4]Recap!$F$66</f>
        <v>6.3384934680403653</v>
      </c>
      <c r="Y12" s="305">
        <f>[5]Recap!$F$66</f>
        <v>5.5047249056446397</v>
      </c>
      <c r="Z12" s="305">
        <f>[6]Recap!$F$66</f>
        <v>6.5841630496719983</v>
      </c>
      <c r="AA12" s="305">
        <f>[7]Recap!$F$66</f>
        <v>6.3053679513301173</v>
      </c>
      <c r="AB12" s="305">
        <f>[8]Recap!$F$65</f>
        <v>6.4353350195416406</v>
      </c>
      <c r="AC12" s="305">
        <f>[9]Recap!$F$65</f>
        <v>6.6078559421467009</v>
      </c>
      <c r="AD12" s="305">
        <f>[10]Recap!$F$65</f>
        <v>6.5188933284789528</v>
      </c>
      <c r="AE12" s="305">
        <f>[11]Recap!$F$64</f>
        <v>6.6885129440714195</v>
      </c>
      <c r="AF12" s="305">
        <f>[12]Recap!$F$64</f>
        <v>6.6807021558106401</v>
      </c>
      <c r="AG12" s="305">
        <f>[13]Recap!$F$64</f>
        <v>6.8596065049134349</v>
      </c>
      <c r="AH12" s="305">
        <f>[14]Recap!$F$62</f>
        <v>6.6110707462754279</v>
      </c>
      <c r="AI12" s="305">
        <f>[15]Recap!$F$62</f>
        <v>6.7989229219675638</v>
      </c>
    </row>
    <row r="13" spans="1:35" s="300" customFormat="1" x14ac:dyDescent="0.25">
      <c r="A13" s="301">
        <v>45092</v>
      </c>
      <c r="B13" s="302">
        <f t="shared" si="17"/>
        <v>1.0480804113983653</v>
      </c>
      <c r="C13" s="303">
        <f t="shared" si="6"/>
        <v>0.84877800321353847</v>
      </c>
      <c r="D13" s="303">
        <f t="shared" si="7"/>
        <v>0.92015809250268488</v>
      </c>
      <c r="E13" s="303">
        <f t="shared" si="8"/>
        <v>0.98291472231023025</v>
      </c>
      <c r="F13" s="303">
        <f t="shared" si="9"/>
        <v>0.85060457418435687</v>
      </c>
      <c r="G13" s="303">
        <f t="shared" si="10"/>
        <v>1.0329616173057437</v>
      </c>
      <c r="H13" s="303">
        <f t="shared" si="11"/>
        <v>0.98525247625511914</v>
      </c>
      <c r="I13" s="303">
        <f t="shared" si="12"/>
        <v>0.99614365930827553</v>
      </c>
      <c r="J13" s="303">
        <f t="shared" si="13"/>
        <v>1.0201779787755123</v>
      </c>
      <c r="K13" s="303">
        <f t="shared" si="14"/>
        <v>1.0001735101652196</v>
      </c>
      <c r="L13" s="303">
        <f t="shared" si="15"/>
        <v>1.0541273713594523</v>
      </c>
      <c r="M13" s="303">
        <f t="shared" si="16"/>
        <v>1.0590768661261096</v>
      </c>
      <c r="N13" s="303">
        <f t="shared" si="18"/>
        <v>1.077979051793766</v>
      </c>
      <c r="O13" s="303">
        <f t="shared" si="19"/>
        <v>1.0453793447452226</v>
      </c>
      <c r="P13" s="304">
        <f t="shared" si="20"/>
        <v>1.0833779647337463</v>
      </c>
      <c r="Q13" s="271">
        <f t="shared" si="21"/>
        <v>1.0003457096118227</v>
      </c>
      <c r="R13" s="296"/>
      <c r="S13" s="297">
        <v>45092</v>
      </c>
      <c r="T13" s="298">
        <f t="shared" si="22"/>
        <v>96.57705193135196</v>
      </c>
      <c r="U13" s="305">
        <f>[1]Recap!$G$66</f>
        <v>6.7264736466441155</v>
      </c>
      <c r="V13" s="305">
        <f>[2]Recap!$G$66</f>
        <v>5.5204864182630269</v>
      </c>
      <c r="W13" s="305">
        <f>[3]Recap!$G$66</f>
        <v>5.9561135568221912</v>
      </c>
      <c r="X13" s="305">
        <f>[4]Recap!$G$66</f>
        <v>6.3356835395515487</v>
      </c>
      <c r="Y13" s="305">
        <f>[5]Recap!$G$66</f>
        <v>5.531686048448976</v>
      </c>
      <c r="Z13" s="305">
        <f>[6]Recap!$G$66</f>
        <v>6.6361100558380519</v>
      </c>
      <c r="AA13" s="305">
        <f>[7]Recap!$G$66</f>
        <v>6.3497615215731651</v>
      </c>
      <c r="AB13" s="305">
        <f>[8]Recap!$G$65</f>
        <v>6.4152904974597922</v>
      </c>
      <c r="AC13" s="305">
        <f>[9]Recap!$G$65</f>
        <v>6.5595615294737302</v>
      </c>
      <c r="AD13" s="305">
        <f>[10]Recap!$G$65</f>
        <v>6.4395127807108317</v>
      </c>
      <c r="AE13" s="305">
        <f>[11]Recap!$G$64</f>
        <v>6.7625649348314214</v>
      </c>
      <c r="AF13" s="305">
        <f>[12]Recap!$G$64</f>
        <v>6.7920844291079412</v>
      </c>
      <c r="AG13" s="305">
        <f>[13]Recap!$G$64</f>
        <v>6.9046414316122009</v>
      </c>
      <c r="AH13" s="305">
        <f>[14]Recap!$G$62</f>
        <v>6.7103429532791008</v>
      </c>
      <c r="AI13" s="305">
        <f>[15]Recap!$G$62</f>
        <v>6.9367385877358636</v>
      </c>
    </row>
    <row r="14" spans="1:35" s="300" customFormat="1" x14ac:dyDescent="0.25">
      <c r="A14" s="301">
        <v>45122</v>
      </c>
      <c r="B14" s="302">
        <f t="shared" si="17"/>
        <v>1.0434613157151085</v>
      </c>
      <c r="C14" s="303">
        <f t="shared" si="6"/>
        <v>0.84000552048708232</v>
      </c>
      <c r="D14" s="303">
        <f t="shared" si="7"/>
        <v>0.92245745581744587</v>
      </c>
      <c r="E14" s="303">
        <f t="shared" si="8"/>
        <v>0.97677937868683729</v>
      </c>
      <c r="F14" s="303">
        <f t="shared" si="9"/>
        <v>0.83792462200607609</v>
      </c>
      <c r="G14" s="303">
        <f t="shared" si="10"/>
        <v>1.0315194451051102</v>
      </c>
      <c r="H14" s="303">
        <f t="shared" si="11"/>
        <v>0.97820529146346247</v>
      </c>
      <c r="I14" s="303">
        <f t="shared" si="12"/>
        <v>0.98740600117205024</v>
      </c>
      <c r="J14" s="303">
        <f t="shared" si="13"/>
        <v>1.0233677149031295</v>
      </c>
      <c r="K14" s="303">
        <f t="shared" si="14"/>
        <v>0.99761792623290046</v>
      </c>
      <c r="L14" s="303">
        <f t="shared" si="15"/>
        <v>1.0625290799563096</v>
      </c>
      <c r="M14" s="303">
        <f t="shared" si="16"/>
        <v>1.0703027602820323</v>
      </c>
      <c r="N14" s="303">
        <f t="shared" si="18"/>
        <v>1.0944029486499112</v>
      </c>
      <c r="O14" s="303">
        <f t="shared" si="19"/>
        <v>1.0580628891345696</v>
      </c>
      <c r="P14" s="304">
        <f t="shared" si="20"/>
        <v>1.0820103517815087</v>
      </c>
      <c r="Q14" s="271">
        <f t="shared" si="21"/>
        <v>1.0004035134262357</v>
      </c>
      <c r="R14" s="296"/>
      <c r="S14" s="297">
        <v>45122</v>
      </c>
      <c r="T14" s="298">
        <f t="shared" si="22"/>
        <v>92.771060449077481</v>
      </c>
      <c r="U14" s="305">
        <f>[1]Recap!$H$66</f>
        <v>6.434889601860128</v>
      </c>
      <c r="V14" s="305">
        <f>[2]Recap!$H$66</f>
        <v>5.2512246583118607</v>
      </c>
      <c r="W14" s="305">
        <f>[3]Recap!$H$66</f>
        <v>5.7348031749275039</v>
      </c>
      <c r="X14" s="305">
        <f>[4]Recap!$H$66</f>
        <v>6.0504903286833489</v>
      </c>
      <c r="Y14" s="305">
        <f>[5]Recap!$H$66</f>
        <v>5.2389507117866962</v>
      </c>
      <c r="Z14" s="305">
        <f>[6]Recap!$H$66</f>
        <v>6.366299371512131</v>
      </c>
      <c r="AA14" s="305">
        <f>[7]Recap!$H$66</f>
        <v>6.0587460553558472</v>
      </c>
      <c r="AB14" s="305">
        <f>[8]Recap!$H$65</f>
        <v>6.1119784047586752</v>
      </c>
      <c r="AC14" s="305">
        <f>[9]Recap!$H$65</f>
        <v>6.319415855523089</v>
      </c>
      <c r="AD14" s="305">
        <f>[10]Recap!$H$65</f>
        <v>6.170984845383539</v>
      </c>
      <c r="AE14" s="305">
        <f>[11]Recap!$H$64</f>
        <v>6.5441831834667834</v>
      </c>
      <c r="AF14" s="305">
        <f>[12]Recap!$H$64</f>
        <v>6.5886613993334713</v>
      </c>
      <c r="AG14" s="305">
        <f>[13]Recap!$H$64</f>
        <v>6.7262628704324214</v>
      </c>
      <c r="AH14" s="305">
        <f>[14]Recap!$H$62</f>
        <v>6.5186084670728945</v>
      </c>
      <c r="AI14" s="305">
        <f>[15]Recap!$H$62</f>
        <v>6.6555615206690923</v>
      </c>
    </row>
    <row r="15" spans="1:35" s="300" customFormat="1" x14ac:dyDescent="0.25">
      <c r="A15" s="301">
        <v>45153</v>
      </c>
      <c r="B15" s="302">
        <f t="shared" si="17"/>
        <v>1.044241038943218</v>
      </c>
      <c r="C15" s="303">
        <f t="shared" si="6"/>
        <v>0.85901572553709604</v>
      </c>
      <c r="D15" s="303">
        <f t="shared" si="7"/>
        <v>0.95005766888363219</v>
      </c>
      <c r="E15" s="303">
        <f t="shared" si="8"/>
        <v>0.98024207645875894</v>
      </c>
      <c r="F15" s="303">
        <f t="shared" si="9"/>
        <v>0.81072919261246912</v>
      </c>
      <c r="G15" s="303">
        <f t="shared" si="10"/>
        <v>1.0079735307769058</v>
      </c>
      <c r="H15" s="303">
        <f t="shared" si="11"/>
        <v>0.95347632745011579</v>
      </c>
      <c r="I15" s="303">
        <f t="shared" si="12"/>
        <v>0.9903056981609395</v>
      </c>
      <c r="J15" s="303">
        <f t="shared" si="13"/>
        <v>1.0324135987509702</v>
      </c>
      <c r="K15" s="303">
        <f t="shared" si="14"/>
        <v>1.0147464482076631</v>
      </c>
      <c r="L15" s="303">
        <f t="shared" si="15"/>
        <v>1.0667425540159934</v>
      </c>
      <c r="M15" s="303">
        <f t="shared" si="16"/>
        <v>1.079438016594348</v>
      </c>
      <c r="N15" s="303">
        <f t="shared" si="18"/>
        <v>1.1124527564341713</v>
      </c>
      <c r="O15" s="303">
        <f t="shared" si="19"/>
        <v>1.0603633442905984</v>
      </c>
      <c r="P15" s="304">
        <f t="shared" si="20"/>
        <v>1.0440428560162289</v>
      </c>
      <c r="Q15" s="271">
        <f t="shared" si="21"/>
        <v>1.0004160555422075</v>
      </c>
      <c r="R15" s="296"/>
      <c r="S15" s="297">
        <v>45153</v>
      </c>
      <c r="T15" s="298">
        <f t="shared" si="22"/>
        <v>85.55408092921239</v>
      </c>
      <c r="U15" s="305">
        <f>[1]Recap!$I$66</f>
        <v>5.9384240204668055</v>
      </c>
      <c r="V15" s="305">
        <f>[2]Recap!$I$66</f>
        <v>4.9459736943249215</v>
      </c>
      <c r="W15" s="305">
        <f>[3]Recap!$I$66</f>
        <v>5.436855996901226</v>
      </c>
      <c r="X15" s="305">
        <f>[4]Recap!$I$66</f>
        <v>5.5982880324319</v>
      </c>
      <c r="Y15" s="305">
        <f>[5]Recap!$I$66</f>
        <v>4.6831719123619706</v>
      </c>
      <c r="Z15" s="305">
        <f>[6]Recap!$I$66</f>
        <v>5.7460288592424789</v>
      </c>
      <c r="AA15" s="305">
        <f>[7]Recap!$I$66</f>
        <v>5.4551723690504197</v>
      </c>
      <c r="AB15" s="305">
        <f>[8]Recap!$I$65</f>
        <v>5.6519657137823085</v>
      </c>
      <c r="AC15" s="305">
        <f>[9]Recap!$I$65</f>
        <v>5.875782754360813</v>
      </c>
      <c r="AD15" s="305">
        <f>[10]Recap!$I$65</f>
        <v>5.782029024070038</v>
      </c>
      <c r="AE15" s="305">
        <f>[11]Recap!$I$64</f>
        <v>6.0573264904292694</v>
      </c>
      <c r="AF15" s="305">
        <f>[12]Recap!$I$64</f>
        <v>6.1242552493105729</v>
      </c>
      <c r="AG15" s="305">
        <f>[13]Recap!$I$64</f>
        <v>6.2977780435656623</v>
      </c>
      <c r="AH15" s="305">
        <f>[14]Recap!$I$62</f>
        <v>6.0236535665123645</v>
      </c>
      <c r="AI15" s="305">
        <f>[15]Recap!$I$62</f>
        <v>5.9373752024016513</v>
      </c>
    </row>
    <row r="16" spans="1:35" s="315" customFormat="1" x14ac:dyDescent="0.25">
      <c r="A16" s="306">
        <v>45184</v>
      </c>
      <c r="B16" s="307">
        <f t="shared" si="17"/>
        <v>1.04440814270035</v>
      </c>
      <c r="C16" s="308">
        <f t="shared" si="6"/>
        <v>0.91677037947083284</v>
      </c>
      <c r="D16" s="308">
        <f t="shared" si="7"/>
        <v>0.99113561097328318</v>
      </c>
      <c r="E16" s="308">
        <f t="shared" si="8"/>
        <v>0.99119484562890836</v>
      </c>
      <c r="F16" s="308">
        <f t="shared" si="9"/>
        <v>0.74343564851418487</v>
      </c>
      <c r="G16" s="308">
        <f t="shared" si="10"/>
        <v>0.95015779943568368</v>
      </c>
      <c r="H16" s="308">
        <f t="shared" si="11"/>
        <v>0.88694715529719159</v>
      </c>
      <c r="I16" s="308">
        <f t="shared" si="12"/>
        <v>1.0181243698480231</v>
      </c>
      <c r="J16" s="308">
        <f t="shared" si="13"/>
        <v>1.0407092273455469</v>
      </c>
      <c r="K16" s="308">
        <f t="shared" si="14"/>
        <v>1.0636912175005868</v>
      </c>
      <c r="L16" s="308">
        <f t="shared" si="15"/>
        <v>1.065885547600723</v>
      </c>
      <c r="M16" s="308">
        <f t="shared" si="16"/>
        <v>1.0891041041723726</v>
      </c>
      <c r="N16" s="308">
        <f t="shared" si="18"/>
        <v>1.1376807972447027</v>
      </c>
      <c r="O16" s="308">
        <f t="shared" si="19"/>
        <v>1.0644437998101481</v>
      </c>
      <c r="P16" s="309">
        <f t="shared" si="20"/>
        <v>1.0051520066616104</v>
      </c>
      <c r="Q16" s="310">
        <f t="shared" si="21"/>
        <v>1.0005893768136098</v>
      </c>
      <c r="R16" s="311"/>
      <c r="S16" s="312">
        <v>45184</v>
      </c>
      <c r="T16" s="313">
        <f t="shared" si="22"/>
        <v>74.273970442160348</v>
      </c>
      <c r="U16" s="314">
        <f>[1]Recap!$J$66</f>
        <v>5.1562240790519898</v>
      </c>
      <c r="V16" s="314">
        <f>[2]Recap!$J$66</f>
        <v>4.5648068807693427</v>
      </c>
      <c r="W16" s="314">
        <f>[3]Recap!$J$66</f>
        <v>4.910607107023746</v>
      </c>
      <c r="X16" s="314">
        <f>[4]Recap!$J$66</f>
        <v>4.9108811822380618</v>
      </c>
      <c r="Y16" s="314">
        <f>[5]Recap!$J$66</f>
        <v>3.7452544101520622</v>
      </c>
      <c r="Z16" s="314">
        <f>[6]Recap!$J$66</f>
        <v>4.7204847773137173</v>
      </c>
      <c r="AA16" s="314">
        <f>[7]Recap!$J$66</f>
        <v>4.4251575631381819</v>
      </c>
      <c r="AB16" s="314">
        <f>[8]Recap!$J$65</f>
        <v>5.0352585642690642</v>
      </c>
      <c r="AC16" s="314">
        <f>[9]Recap!$J$65</f>
        <v>5.1392261642962778</v>
      </c>
      <c r="AD16" s="314">
        <f>[10]Recap!$J$65</f>
        <v>5.2447019065578555</v>
      </c>
      <c r="AE16" s="314">
        <f>[11]Recap!$J$64</f>
        <v>5.2547559456157957</v>
      </c>
      <c r="AF16" s="314">
        <f>[12]Recap!$J$64</f>
        <v>5.3609601659098098</v>
      </c>
      <c r="AG16" s="314">
        <f>[13]Recap!$J$64</f>
        <v>5.5821014486279052</v>
      </c>
      <c r="AH16" s="314">
        <f>[14]Recap!$J$62</f>
        <v>5.2481504378831545</v>
      </c>
      <c r="AI16" s="314">
        <f>[15]Recap!$J$62</f>
        <v>4.97539980931339</v>
      </c>
    </row>
    <row r="17" spans="1:35" s="318" customFormat="1" x14ac:dyDescent="0.25">
      <c r="A17" s="301">
        <v>44849</v>
      </c>
      <c r="B17" s="302">
        <f>+U17/($T17-U17)*(Nserv-1)</f>
        <v>0.93244620621418972</v>
      </c>
      <c r="C17" s="303">
        <f t="shared" si="6"/>
        <v>1.0248385311006287</v>
      </c>
      <c r="D17" s="303">
        <f t="shared" si="7"/>
        <v>1.047590763035096</v>
      </c>
      <c r="E17" s="303">
        <f t="shared" si="8"/>
        <v>1.0153181374371207</v>
      </c>
      <c r="F17" s="303">
        <f t="shared" si="9"/>
        <v>0.69093637263723073</v>
      </c>
      <c r="G17" s="303">
        <f t="shared" si="10"/>
        <v>0.81866972446069908</v>
      </c>
      <c r="H17" s="303">
        <f t="shared" si="11"/>
        <v>0.76259149740037191</v>
      </c>
      <c r="I17" s="303">
        <f t="shared" si="12"/>
        <v>1.0754538738962742</v>
      </c>
      <c r="J17" s="303">
        <f t="shared" si="13"/>
        <v>1.0642135748614583</v>
      </c>
      <c r="K17" s="303">
        <f t="shared" si="14"/>
        <v>1.1510383529751085</v>
      </c>
      <c r="L17" s="303">
        <f t="shared" si="15"/>
        <v>1.0961660775258462</v>
      </c>
      <c r="M17" s="303">
        <f t="shared" si="16"/>
        <v>1.1190066805331678</v>
      </c>
      <c r="N17" s="303">
        <f t="shared" si="18"/>
        <v>1.1814064253420962</v>
      </c>
      <c r="O17" s="303">
        <f t="shared" si="19"/>
        <v>1.0886000748246401</v>
      </c>
      <c r="P17" s="304">
        <f>+AI17/($T17-AI17)*(Nserv-1)</f>
        <v>0.95132809351049219</v>
      </c>
      <c r="Q17" s="271">
        <f t="shared" si="21"/>
        <v>1.0013069590502948</v>
      </c>
      <c r="R17" s="316"/>
      <c r="S17" s="297">
        <v>44849</v>
      </c>
      <c r="T17" s="317">
        <f t="shared" si="22"/>
        <v>59.719762466417862</v>
      </c>
      <c r="U17" s="305">
        <f>[1]Recap!$K$65</f>
        <v>3.7291589856623895</v>
      </c>
      <c r="V17" s="305">
        <f>[2]Recap!$K$65</f>
        <v>4.0734623215467449</v>
      </c>
      <c r="W17" s="305">
        <f>[3]Recap!$K$65</f>
        <v>4.1576005432148433</v>
      </c>
      <c r="X17" s="305">
        <f>[4]Recap!$K$65</f>
        <v>4.0381800399162255</v>
      </c>
      <c r="Y17" s="305">
        <f>[5]Recap!$K$65</f>
        <v>2.8087083768300731</v>
      </c>
      <c r="Z17" s="305">
        <f>[6]Recap!$K$65</f>
        <v>3.2992679094897639</v>
      </c>
      <c r="AA17" s="305">
        <f>[7]Recap!$K$65</f>
        <v>3.0849450173893818</v>
      </c>
      <c r="AB17" s="305">
        <f>[8]Recap!$K$64</f>
        <v>4.2602929523656945</v>
      </c>
      <c r="AC17" s="305">
        <f>[9]Recap!$K$64</f>
        <v>4.2189113682191133</v>
      </c>
      <c r="AD17" s="305">
        <f>[10]Recap!$K$64</f>
        <v>4.5369654163612063</v>
      </c>
      <c r="AE17" s="305">
        <f>[11]Recap!$K$63</f>
        <v>4.3363843135672102</v>
      </c>
      <c r="AF17" s="305">
        <f>[12]Recap!$K$63</f>
        <v>4.420053153744548</v>
      </c>
      <c r="AG17" s="305">
        <f>[13]Recap!$K$63</f>
        <v>4.6473501282434686</v>
      </c>
      <c r="AH17" s="305">
        <f>[14]Recap!$K$61</f>
        <v>4.3086129638973665</v>
      </c>
      <c r="AI17" s="305">
        <f>[15]Recap!$K$61</f>
        <v>3.7998689759698356</v>
      </c>
    </row>
    <row r="18" spans="1:35" s="318" customFormat="1" x14ac:dyDescent="0.25">
      <c r="A18" s="301">
        <v>44880</v>
      </c>
      <c r="B18" s="302">
        <f t="shared" si="17"/>
        <v>0.77247836765352962</v>
      </c>
      <c r="C18" s="303">
        <f t="shared" si="6"/>
        <v>1.0773644380144431</v>
      </c>
      <c r="D18" s="303">
        <f t="shared" si="7"/>
        <v>1.0853780368023713</v>
      </c>
      <c r="E18" s="303">
        <f t="shared" si="8"/>
        <v>1.0480130836085508</v>
      </c>
      <c r="F18" s="303">
        <f t="shared" si="9"/>
        <v>0.63163467130034812</v>
      </c>
      <c r="G18" s="303">
        <f t="shared" si="10"/>
        <v>0.77075168840895525</v>
      </c>
      <c r="H18" s="303">
        <f t="shared" si="11"/>
        <v>0.74139026074730441</v>
      </c>
      <c r="I18" s="303">
        <f t="shared" si="12"/>
        <v>1.1375195357896672</v>
      </c>
      <c r="J18" s="303">
        <f t="shared" si="13"/>
        <v>1.0709572738464646</v>
      </c>
      <c r="K18" s="303">
        <f t="shared" si="14"/>
        <v>1.1995919619523152</v>
      </c>
      <c r="L18" s="303">
        <f t="shared" si="15"/>
        <v>1.1372237638684646</v>
      </c>
      <c r="M18" s="303">
        <f t="shared" si="16"/>
        <v>1.1693843013728928</v>
      </c>
      <c r="N18" s="303">
        <f t="shared" si="18"/>
        <v>1.2215524909677995</v>
      </c>
      <c r="O18" s="303">
        <f t="shared" si="19"/>
        <v>1.0993744518270174</v>
      </c>
      <c r="P18" s="304">
        <f t="shared" si="20"/>
        <v>0.8716187736988984</v>
      </c>
      <c r="Q18" s="271">
        <f t="shared" si="21"/>
        <v>1.0022822066572681</v>
      </c>
      <c r="R18" s="316"/>
      <c r="S18" s="297">
        <v>44880</v>
      </c>
      <c r="T18" s="317">
        <f t="shared" si="22"/>
        <v>44.284722766467439</v>
      </c>
      <c r="U18" s="305">
        <f>[1]Recap!$L$65</f>
        <v>2.315724518475883</v>
      </c>
      <c r="V18" s="305">
        <f>[2]Recap!$L$65</f>
        <v>3.1643982376407762</v>
      </c>
      <c r="W18" s="305">
        <f>[3]Recap!$L$65</f>
        <v>3.1862420245183412</v>
      </c>
      <c r="X18" s="305">
        <f>[4]Recap!$L$65</f>
        <v>3.0841924847732702</v>
      </c>
      <c r="Y18" s="305">
        <f>[5]Recap!$L$65</f>
        <v>1.9117321431685792</v>
      </c>
      <c r="Z18" s="305">
        <f>[6]Recap!$L$65</f>
        <v>2.3108184040330242</v>
      </c>
      <c r="AA18" s="305">
        <f>[7]Recap!$L$65</f>
        <v>2.2272161294296389</v>
      </c>
      <c r="AB18" s="305">
        <f>[8]Recap!$L$64</f>
        <v>3.3278065910854853</v>
      </c>
      <c r="AC18" s="305">
        <f>[9]Recap!$L$64</f>
        <v>3.1469166228296213</v>
      </c>
      <c r="AD18" s="305">
        <f>[10]Recap!$L$64</f>
        <v>3.495067341341811</v>
      </c>
      <c r="AE18" s="305">
        <f>[11]Recap!$L$63</f>
        <v>3.3270063184613443</v>
      </c>
      <c r="AF18" s="305">
        <f>[12]Recap!$L$63</f>
        <v>3.4138405728880454</v>
      </c>
      <c r="AG18" s="305">
        <f>[13]Recap!$L$63</f>
        <v>3.5539156363515749</v>
      </c>
      <c r="AH18" s="305">
        <f>[14]Recap!$L$61</f>
        <v>3.2243383969993311</v>
      </c>
      <c r="AI18" s="305">
        <f>[15]Recap!$L$61</f>
        <v>2.5955073444707137</v>
      </c>
    </row>
    <row r="19" spans="1:35" s="318" customFormat="1" x14ac:dyDescent="0.25">
      <c r="A19" s="319">
        <v>44910</v>
      </c>
      <c r="B19" s="320">
        <f t="shared" si="17"/>
        <v>0.70799724949077902</v>
      </c>
      <c r="C19" s="321">
        <f t="shared" si="6"/>
        <v>1.1039993022655805</v>
      </c>
      <c r="D19" s="321">
        <f t="shared" si="7"/>
        <v>1.0918311917198815</v>
      </c>
      <c r="E19" s="321">
        <f t="shared" si="8"/>
        <v>1.0694155053426873</v>
      </c>
      <c r="F19" s="321">
        <f t="shared" si="9"/>
        <v>0.64875054144014599</v>
      </c>
      <c r="G19" s="321">
        <f t="shared" si="10"/>
        <v>0.76418325017314082</v>
      </c>
      <c r="H19" s="321">
        <f t="shared" si="11"/>
        <v>0.69609386409243679</v>
      </c>
      <c r="I19" s="321">
        <f t="shared" si="12"/>
        <v>1.1405152610952658</v>
      </c>
      <c r="J19" s="321">
        <f t="shared" si="13"/>
        <v>1.0797089692662278</v>
      </c>
      <c r="K19" s="321">
        <f t="shared" si="14"/>
        <v>1.2527546727928842</v>
      </c>
      <c r="L19" s="321">
        <f t="shared" si="15"/>
        <v>1.1631426928797479</v>
      </c>
      <c r="M19" s="321">
        <f t="shared" si="16"/>
        <v>1.1932358444114841</v>
      </c>
      <c r="N19" s="321">
        <f t="shared" si="18"/>
        <v>1.2406809901038875</v>
      </c>
      <c r="O19" s="321">
        <f t="shared" si="19"/>
        <v>1.1069859910615543</v>
      </c>
      <c r="P19" s="322">
        <f t="shared" si="20"/>
        <v>0.78439932539356028</v>
      </c>
      <c r="Q19" s="271">
        <f t="shared" si="21"/>
        <v>1.0029129767686176</v>
      </c>
      <c r="R19" s="316"/>
      <c r="S19" s="297">
        <v>44910</v>
      </c>
      <c r="T19" s="323">
        <f t="shared" si="22"/>
        <v>36.016015209780242</v>
      </c>
      <c r="U19" s="324">
        <f>[1]Recap!$M$65</f>
        <v>1.7336989716275146</v>
      </c>
      <c r="V19" s="324">
        <f>[2]Recap!$M$65</f>
        <v>2.6325249932989419</v>
      </c>
      <c r="W19" s="324">
        <f>[3]Recap!$M$65</f>
        <v>2.6056088428202466</v>
      </c>
      <c r="X19" s="324">
        <f>[4]Recap!$M$65</f>
        <v>2.5559110167439218</v>
      </c>
      <c r="Y19" s="324">
        <f>[5]Recap!$M$65</f>
        <v>1.5950445262729123</v>
      </c>
      <c r="Z19" s="324">
        <f>[6]Recap!$M$65</f>
        <v>1.8641624189385739</v>
      </c>
      <c r="AA19" s="324">
        <f>[7]Recap!$M$65</f>
        <v>1.7059313466855124</v>
      </c>
      <c r="AB19" s="324">
        <f>[8]Recap!$M$64</f>
        <v>2.7130394363885131</v>
      </c>
      <c r="AC19" s="324">
        <f>[9]Recap!$M$64</f>
        <v>2.5787510049751856</v>
      </c>
      <c r="AD19" s="324">
        <f>[10]Recap!$M$64</f>
        <v>2.9581037863221691</v>
      </c>
      <c r="AE19" s="324">
        <f>[11]Recap!$M$63</f>
        <v>2.7627363117523869</v>
      </c>
      <c r="AF19" s="324">
        <f>[12]Recap!$M$63</f>
        <v>2.8286008827399769</v>
      </c>
      <c r="AG19" s="324">
        <f>[13]Recap!$M$63</f>
        <v>2.9319152759041005</v>
      </c>
      <c r="AH19" s="324">
        <f>[14]Recap!$M$61</f>
        <v>2.6391249925482336</v>
      </c>
      <c r="AI19" s="324">
        <f>[15]Recap!$M$61</f>
        <v>1.9108614027620487</v>
      </c>
    </row>
    <row r="20" spans="1:35" x14ac:dyDescent="0.25">
      <c r="T20" s="15"/>
    </row>
    <row r="21" spans="1:35" ht="18.75" x14ac:dyDescent="0.3">
      <c r="A21" s="1" t="s">
        <v>82</v>
      </c>
      <c r="S21" s="325"/>
      <c r="T21" s="15"/>
    </row>
    <row r="22" spans="1:35" ht="33.75" x14ac:dyDescent="0.25">
      <c r="A22" s="276" t="s">
        <v>73</v>
      </c>
      <c r="B22" s="12" t="s">
        <v>5</v>
      </c>
      <c r="C22" s="12" t="s">
        <v>6</v>
      </c>
      <c r="D22" s="12" t="s">
        <v>7</v>
      </c>
      <c r="E22" s="12" t="s">
        <v>8</v>
      </c>
      <c r="F22" s="12" t="s">
        <v>9</v>
      </c>
      <c r="G22" s="12" t="s">
        <v>10</v>
      </c>
      <c r="H22" s="12" t="s">
        <v>11</v>
      </c>
      <c r="I22" s="12" t="s">
        <v>12</v>
      </c>
      <c r="J22" s="12" t="s">
        <v>13</v>
      </c>
      <c r="K22" s="12" t="s">
        <v>14</v>
      </c>
      <c r="L22" s="12" t="s">
        <v>15</v>
      </c>
      <c r="M22" s="12" t="s">
        <v>16</v>
      </c>
      <c r="N22" s="12" t="s">
        <v>17</v>
      </c>
      <c r="O22" s="12" t="s">
        <v>18</v>
      </c>
      <c r="P22" s="12" t="s">
        <v>19</v>
      </c>
      <c r="T22" s="277" t="s">
        <v>73</v>
      </c>
      <c r="U22" s="12" t="s">
        <v>5</v>
      </c>
      <c r="V22" s="12" t="s">
        <v>6</v>
      </c>
      <c r="W22" s="12" t="s">
        <v>7</v>
      </c>
      <c r="X22" s="12" t="s">
        <v>8</v>
      </c>
      <c r="Y22" s="12" t="s">
        <v>9</v>
      </c>
      <c r="Z22" s="12" t="s">
        <v>10</v>
      </c>
      <c r="AA22" s="12" t="s">
        <v>11</v>
      </c>
      <c r="AB22" s="12" t="s">
        <v>12</v>
      </c>
      <c r="AC22" s="12" t="s">
        <v>13</v>
      </c>
      <c r="AD22" s="12" t="s">
        <v>14</v>
      </c>
      <c r="AE22" s="12" t="s">
        <v>15</v>
      </c>
      <c r="AF22" s="12" t="s">
        <v>16</v>
      </c>
      <c r="AG22" s="12" t="s">
        <v>17</v>
      </c>
      <c r="AH22" s="12" t="s">
        <v>18</v>
      </c>
      <c r="AI22" s="12" t="s">
        <v>19</v>
      </c>
    </row>
    <row r="23" spans="1:35" ht="15" customHeight="1" x14ac:dyDescent="0.25">
      <c r="A23" s="326" t="s">
        <v>83</v>
      </c>
      <c r="B23" s="327">
        <v>6</v>
      </c>
      <c r="C23" s="327">
        <v>9</v>
      </c>
      <c r="D23" s="327">
        <v>9</v>
      </c>
      <c r="E23" s="327">
        <v>9</v>
      </c>
      <c r="F23" s="327">
        <v>9</v>
      </c>
      <c r="G23" s="327">
        <v>9</v>
      </c>
      <c r="H23" s="327">
        <v>9</v>
      </c>
      <c r="I23" s="327">
        <v>9</v>
      </c>
      <c r="J23" s="327">
        <v>9</v>
      </c>
      <c r="K23" s="327">
        <v>9</v>
      </c>
      <c r="L23" s="327">
        <v>35.840000000000003</v>
      </c>
      <c r="M23" s="327">
        <v>35.840000000000003</v>
      </c>
      <c r="N23" s="328">
        <v>31.05</v>
      </c>
      <c r="O23" s="327">
        <v>35.72</v>
      </c>
      <c r="P23" s="328">
        <v>9</v>
      </c>
      <c r="T23" s="329" t="s">
        <v>84</v>
      </c>
      <c r="U23" s="330">
        <f>B23</f>
        <v>6</v>
      </c>
      <c r="V23" s="331">
        <f t="shared" ref="V23:AI23" si="23">C23</f>
        <v>9</v>
      </c>
      <c r="W23" s="331">
        <f t="shared" si="23"/>
        <v>9</v>
      </c>
      <c r="X23" s="331">
        <f t="shared" si="23"/>
        <v>9</v>
      </c>
      <c r="Y23" s="331">
        <f t="shared" si="23"/>
        <v>9</v>
      </c>
      <c r="Z23" s="331">
        <f t="shared" si="23"/>
        <v>9</v>
      </c>
      <c r="AA23" s="331">
        <f t="shared" si="23"/>
        <v>9</v>
      </c>
      <c r="AB23" s="331">
        <f t="shared" si="23"/>
        <v>9</v>
      </c>
      <c r="AC23" s="331">
        <f t="shared" si="23"/>
        <v>9</v>
      </c>
      <c r="AD23" s="331">
        <f t="shared" si="23"/>
        <v>9</v>
      </c>
      <c r="AE23" s="331">
        <f t="shared" si="23"/>
        <v>35.840000000000003</v>
      </c>
      <c r="AF23" s="331">
        <f t="shared" si="23"/>
        <v>35.840000000000003</v>
      </c>
      <c r="AG23" s="330">
        <f t="shared" si="23"/>
        <v>31.05</v>
      </c>
      <c r="AH23" s="331">
        <f t="shared" si="23"/>
        <v>35.72</v>
      </c>
      <c r="AI23" s="330">
        <f t="shared" si="23"/>
        <v>9</v>
      </c>
    </row>
    <row r="24" spans="1:35" s="274" customFormat="1" ht="11.25" x14ac:dyDescent="0.2">
      <c r="A24" s="278" t="s">
        <v>74</v>
      </c>
      <c r="B24" s="279">
        <f t="shared" ref="B24:P24" si="24">+MIN(B28:B39)</f>
        <v>0.24526101322409394</v>
      </c>
      <c r="C24" s="279">
        <f t="shared" si="24"/>
        <v>0.45841547685381295</v>
      </c>
      <c r="D24" s="279">
        <f>+MIN(D28:D39)</f>
        <v>0.50214450892143347</v>
      </c>
      <c r="E24" s="279">
        <f t="shared" si="24"/>
        <v>0.53083444823468517</v>
      </c>
      <c r="F24" s="279">
        <f t="shared" si="24"/>
        <v>0.33462179950153886</v>
      </c>
      <c r="G24" s="279">
        <f t="shared" si="24"/>
        <v>0.39986921544505932</v>
      </c>
      <c r="H24" s="279">
        <f t="shared" si="24"/>
        <v>0.36504311155387353</v>
      </c>
      <c r="I24" s="279">
        <f t="shared" si="24"/>
        <v>0.53622531840837773</v>
      </c>
      <c r="J24" s="279">
        <f t="shared" si="24"/>
        <v>0.55536433822906939</v>
      </c>
      <c r="K24" s="279">
        <f t="shared" si="24"/>
        <v>0.54181505635844629</v>
      </c>
      <c r="L24" s="279">
        <f t="shared" si="24"/>
        <v>2.5915750184584336</v>
      </c>
      <c r="M24" s="279">
        <f t="shared" si="24"/>
        <v>2.5891118103979989</v>
      </c>
      <c r="N24" s="280">
        <f t="shared" si="24"/>
        <v>2.2567624515089069</v>
      </c>
      <c r="O24" s="280">
        <f t="shared" si="24"/>
        <v>2.5470772001282627</v>
      </c>
      <c r="P24" s="280">
        <f t="shared" si="24"/>
        <v>0.41017979354545209</v>
      </c>
      <c r="Q24" s="281"/>
      <c r="T24" s="282" t="s">
        <v>74</v>
      </c>
      <c r="U24" s="332">
        <f t="shared" ref="U24:AG24" si="25">+MIN(U28:U39)</f>
        <v>10.402193829765087</v>
      </c>
      <c r="V24" s="283">
        <f t="shared" si="25"/>
        <v>23.692724939690478</v>
      </c>
      <c r="W24" s="283">
        <f>+MIN(W28:W39)</f>
        <v>23.450479585382219</v>
      </c>
      <c r="X24" s="283">
        <f t="shared" si="25"/>
        <v>23.003199150695295</v>
      </c>
      <c r="Y24" s="283">
        <f t="shared" si="25"/>
        <v>14.355400736456211</v>
      </c>
      <c r="Z24" s="283">
        <f t="shared" si="25"/>
        <v>16.777461770447164</v>
      </c>
      <c r="AA24" s="283">
        <f t="shared" si="25"/>
        <v>15.353382120169611</v>
      </c>
      <c r="AB24" s="283">
        <f t="shared" si="25"/>
        <v>24.417354927496618</v>
      </c>
      <c r="AC24" s="283">
        <f t="shared" si="25"/>
        <v>23.20875904477667</v>
      </c>
      <c r="AD24" s="283">
        <f t="shared" si="25"/>
        <v>26.622934076899522</v>
      </c>
      <c r="AE24" s="283">
        <f t="shared" si="25"/>
        <v>99.016469413205556</v>
      </c>
      <c r="AF24" s="283">
        <f t="shared" si="25"/>
        <v>101.37705563740079</v>
      </c>
      <c r="AG24" s="283">
        <f t="shared" si="25"/>
        <v>91.035969316822317</v>
      </c>
      <c r="AH24" s="283">
        <f>+MIN(AH28:AH39)</f>
        <v>94.269544733822897</v>
      </c>
      <c r="AI24" s="283">
        <f t="shared" ref="AI24" si="26">+MIN(AI28:AI39)</f>
        <v>17.197752624858438</v>
      </c>
    </row>
    <row r="25" spans="1:35" s="274" customFormat="1" ht="11.25" x14ac:dyDescent="0.2">
      <c r="A25" s="284" t="s">
        <v>75</v>
      </c>
      <c r="B25" s="279">
        <f t="shared" ref="B25:P25" si="27">+AVERAGE(B28:B39)</f>
        <v>0.33358500657893114</v>
      </c>
      <c r="C25" s="279">
        <f t="shared" si="27"/>
        <v>0.5173565254992466</v>
      </c>
      <c r="D25" s="279">
        <f>+AVERAGE(D28:D39)</f>
        <v>0.5389406861438818</v>
      </c>
      <c r="E25" s="279">
        <f t="shared" si="27"/>
        <v>0.54248508292284281</v>
      </c>
      <c r="F25" s="279">
        <f t="shared" si="27"/>
        <v>0.40797631253996469</v>
      </c>
      <c r="G25" s="279">
        <f t="shared" si="27"/>
        <v>0.4799739074313103</v>
      </c>
      <c r="H25" s="279">
        <f t="shared" si="27"/>
        <v>0.46505172140153911</v>
      </c>
      <c r="I25" s="279">
        <f t="shared" si="27"/>
        <v>0.5660167939426356</v>
      </c>
      <c r="J25" s="279">
        <f t="shared" si="27"/>
        <v>0.56201888614156981</v>
      </c>
      <c r="K25" s="279">
        <f t="shared" si="27"/>
        <v>0.59030061663512856</v>
      </c>
      <c r="L25" s="279">
        <f t="shared" si="27"/>
        <v>2.6369471410935801</v>
      </c>
      <c r="M25" s="279">
        <f t="shared" si="27"/>
        <v>2.6859571477562887</v>
      </c>
      <c r="N25" s="280">
        <f t="shared" si="27"/>
        <v>2.3563627423949991</v>
      </c>
      <c r="O25" s="280">
        <f t="shared" si="27"/>
        <v>2.5887673341969752</v>
      </c>
      <c r="P25" s="280">
        <f t="shared" si="27"/>
        <v>0.51884585565125019</v>
      </c>
      <c r="Q25" s="281"/>
      <c r="T25" s="285" t="s">
        <v>75</v>
      </c>
      <c r="U25" s="332">
        <f t="shared" ref="U25:AI25" si="28">+AVERAGE(U28:U39)</f>
        <v>27.593869608728863</v>
      </c>
      <c r="V25" s="283">
        <f t="shared" si="28"/>
        <v>39.899430966644161</v>
      </c>
      <c r="W25" s="283">
        <f>+AVERAGE(W28:W39)</f>
        <v>41.958959774870323</v>
      </c>
      <c r="X25" s="283">
        <f t="shared" si="28"/>
        <v>42.565635707825706</v>
      </c>
      <c r="Y25" s="283">
        <f t="shared" si="28"/>
        <v>33.429627342250562</v>
      </c>
      <c r="Z25" s="283">
        <f t="shared" si="28"/>
        <v>39.27097404566566</v>
      </c>
      <c r="AA25" s="283">
        <f t="shared" si="28"/>
        <v>38.166153212475962</v>
      </c>
      <c r="AB25" s="283">
        <f t="shared" si="28"/>
        <v>44.074995438358229</v>
      </c>
      <c r="AC25" s="283">
        <f t="shared" si="28"/>
        <v>44.188930254401164</v>
      </c>
      <c r="AD25" s="283">
        <f t="shared" si="28"/>
        <v>45.575948764337369</v>
      </c>
      <c r="AE25" s="283">
        <f t="shared" si="28"/>
        <v>180.78659597831438</v>
      </c>
      <c r="AF25" s="283">
        <f t="shared" si="28"/>
        <v>183.19422038879483</v>
      </c>
      <c r="AG25" s="283">
        <f t="shared" si="28"/>
        <v>163.68306156783433</v>
      </c>
      <c r="AH25" s="283">
        <f t="shared" si="28"/>
        <v>178.49425426767712</v>
      </c>
      <c r="AI25" s="283">
        <f t="shared" si="28"/>
        <v>42.207379315330094</v>
      </c>
    </row>
    <row r="26" spans="1:35" s="274" customFormat="1" ht="11.25" x14ac:dyDescent="0.2">
      <c r="A26" s="284" t="s">
        <v>76</v>
      </c>
      <c r="B26" s="279">
        <f t="shared" ref="B26:P26" si="29">+MAX(B28:B39)</f>
        <v>0.38153622570000267</v>
      </c>
      <c r="C26" s="279">
        <f t="shared" si="29"/>
        <v>0.58090748773362544</v>
      </c>
      <c r="D26" s="279">
        <f>+MAX(D28:D39)</f>
        <v>0.56673757384355516</v>
      </c>
      <c r="E26" s="279">
        <f t="shared" si="29"/>
        <v>0.55986649762942009</v>
      </c>
      <c r="F26" s="279">
        <f t="shared" si="29"/>
        <v>0.46719704449487226</v>
      </c>
      <c r="G26" s="279">
        <f t="shared" si="29"/>
        <v>0.56319906945117726</v>
      </c>
      <c r="H26" s="279">
        <f t="shared" si="29"/>
        <v>0.53796316690595336</v>
      </c>
      <c r="I26" s="279">
        <f t="shared" si="29"/>
        <v>0.59443707064249551</v>
      </c>
      <c r="J26" s="279">
        <f t="shared" si="29"/>
        <v>0.57039853022723741</v>
      </c>
      <c r="K26" s="279">
        <f t="shared" si="29"/>
        <v>0.64533993090100927</v>
      </c>
      <c r="L26" s="279">
        <f t="shared" si="29"/>
        <v>2.7441187192164116</v>
      </c>
      <c r="M26" s="279">
        <f t="shared" si="29"/>
        <v>2.8227297990092381</v>
      </c>
      <c r="N26" s="286">
        <f t="shared" si="29"/>
        <v>2.4837117857067059</v>
      </c>
      <c r="O26" s="286">
        <f t="shared" si="29"/>
        <v>2.6194455267629557</v>
      </c>
      <c r="P26" s="286">
        <f t="shared" si="29"/>
        <v>0.58978791539893938</v>
      </c>
      <c r="Q26" s="281"/>
      <c r="T26" s="285" t="s">
        <v>76</v>
      </c>
      <c r="U26" s="333">
        <f t="shared" ref="U26:AI26" si="30">+MAX(U28:U39)</f>
        <v>40.699862242668182</v>
      </c>
      <c r="V26" s="283">
        <f t="shared" si="30"/>
        <v>50.786648724909064</v>
      </c>
      <c r="W26" s="283">
        <f>+MAX(W28:W39)</f>
        <v>54.509759925576091</v>
      </c>
      <c r="X26" s="283">
        <f t="shared" si="30"/>
        <v>57.046441212363291</v>
      </c>
      <c r="Y26" s="283">
        <f t="shared" si="30"/>
        <v>49.785174436040784</v>
      </c>
      <c r="Z26" s="283">
        <f t="shared" si="30"/>
        <v>59.724990502542468</v>
      </c>
      <c r="AA26" s="283">
        <f t="shared" si="30"/>
        <v>57.147853694158485</v>
      </c>
      <c r="AB26" s="283">
        <f t="shared" si="30"/>
        <v>57.918015175874764</v>
      </c>
      <c r="AC26" s="283">
        <f t="shared" si="30"/>
        <v>59.470703479320306</v>
      </c>
      <c r="AD26" s="283">
        <f t="shared" si="30"/>
        <v>58.670039956310575</v>
      </c>
      <c r="AE26" s="283">
        <f t="shared" si="30"/>
        <v>242.37032726435817</v>
      </c>
      <c r="AF26" s="283">
        <f t="shared" si="30"/>
        <v>243.42830593922864</v>
      </c>
      <c r="AG26" s="283">
        <f t="shared" si="30"/>
        <v>214.38911645155883</v>
      </c>
      <c r="AH26" s="283">
        <f t="shared" si="30"/>
        <v>239.69345029112947</v>
      </c>
      <c r="AI26" s="283">
        <f t="shared" si="30"/>
        <v>62.430647289622769</v>
      </c>
    </row>
    <row r="27" spans="1:35" ht="38.25" x14ac:dyDescent="0.25">
      <c r="A27" s="287" t="s">
        <v>77</v>
      </c>
      <c r="B27" s="288" t="s">
        <v>78</v>
      </c>
      <c r="C27" s="288" t="s">
        <v>78</v>
      </c>
      <c r="D27" s="288" t="s">
        <v>78</v>
      </c>
      <c r="E27" s="288" t="s">
        <v>78</v>
      </c>
      <c r="F27" s="288" t="s">
        <v>78</v>
      </c>
      <c r="G27" s="288" t="s">
        <v>78</v>
      </c>
      <c r="H27" s="288" t="s">
        <v>78</v>
      </c>
      <c r="I27" s="288" t="s">
        <v>78</v>
      </c>
      <c r="J27" s="288" t="s">
        <v>78</v>
      </c>
      <c r="K27" s="288" t="s">
        <v>78</v>
      </c>
      <c r="L27" s="288" t="s">
        <v>78</v>
      </c>
      <c r="M27" s="288" t="s">
        <v>78</v>
      </c>
      <c r="N27" s="288" t="s">
        <v>78</v>
      </c>
      <c r="O27" s="288" t="s">
        <v>78</v>
      </c>
      <c r="P27" s="288" t="s">
        <v>78</v>
      </c>
      <c r="S27" s="289" t="s">
        <v>77</v>
      </c>
      <c r="T27" s="290" t="s">
        <v>80</v>
      </c>
      <c r="U27" s="291" t="s">
        <v>85</v>
      </c>
      <c r="V27" s="291" t="s">
        <v>85</v>
      </c>
      <c r="W27" s="291" t="s">
        <v>85</v>
      </c>
      <c r="X27" s="291" t="s">
        <v>85</v>
      </c>
      <c r="Y27" s="291" t="s">
        <v>85</v>
      </c>
      <c r="Z27" s="291" t="s">
        <v>85</v>
      </c>
      <c r="AA27" s="291" t="s">
        <v>85</v>
      </c>
      <c r="AB27" s="291" t="s">
        <v>85</v>
      </c>
      <c r="AC27" s="291" t="s">
        <v>85</v>
      </c>
      <c r="AD27" s="291" t="s">
        <v>85</v>
      </c>
      <c r="AE27" s="291" t="s">
        <v>85</v>
      </c>
      <c r="AF27" s="291" t="s">
        <v>85</v>
      </c>
      <c r="AG27" s="291" t="s">
        <v>85</v>
      </c>
      <c r="AH27" s="291" t="s">
        <v>85</v>
      </c>
      <c r="AI27" s="291" t="s">
        <v>85</v>
      </c>
    </row>
    <row r="28" spans="1:35" s="300" customFormat="1" x14ac:dyDescent="0.25">
      <c r="A28" s="292">
        <v>44941</v>
      </c>
      <c r="B28" s="293">
        <f>+U28/($T28-U28)*(Nserv-1)</f>
        <v>0.27954899834450397</v>
      </c>
      <c r="C28" s="293">
        <f t="shared" ref="C28:C39" si="31">+V28/($T28-V28)*(Nserv-1)</f>
        <v>0.58090748773362544</v>
      </c>
      <c r="D28" s="293">
        <f t="shared" ref="D28:D39" si="32">+W28/($T28-W28)*(Nserv-1)</f>
        <v>0.56545431917568223</v>
      </c>
      <c r="E28" s="293">
        <f t="shared" ref="E28:E39" si="33">+X28/($T28-X28)*(Nserv-1)</f>
        <v>0.55986649762942009</v>
      </c>
      <c r="F28" s="293">
        <f t="shared" ref="F28:F39" si="34">+Y28/($T28-Y28)*(Nserv-1)</f>
        <v>0.3647507037908771</v>
      </c>
      <c r="G28" s="293">
        <f t="shared" ref="G28:G39" si="35">+Z28/($T28-Z28)*(Nserv-1)</f>
        <v>0.4021132558746946</v>
      </c>
      <c r="H28" s="293">
        <f t="shared" ref="H28:H39" si="36">+AA28/($T28-AA28)*(Nserv-1)</f>
        <v>0.38596928706884942</v>
      </c>
      <c r="I28" s="293">
        <f t="shared" ref="I28:I39" si="37">+AB28/($T28-AB28)*(Nserv-1)</f>
        <v>0.59443707064249551</v>
      </c>
      <c r="J28" s="293">
        <f t="shared" ref="J28:J39" si="38">+AC28/($T28-AC28)*(Nserv-1)</f>
        <v>0.56250763518524227</v>
      </c>
      <c r="K28" s="293">
        <f t="shared" ref="K28:K39" si="39">+AD28/($T28-AD28)*(Nserv-1)</f>
        <v>0.63847583677682074</v>
      </c>
      <c r="L28" s="293">
        <f t="shared" ref="L28:L39" si="40">+AE28/($T28-AE28)*(Nserv-1)</f>
        <v>2.6837706710743605</v>
      </c>
      <c r="M28" s="293">
        <f t="shared" ref="M28:M39" si="41">+AF28/($T28-AF28)*(Nserv-1)</f>
        <v>2.7736535821102555</v>
      </c>
      <c r="N28" s="334">
        <f t="shared" ref="N28:N39" si="42">+AG28/($T28-AG28)*(Nserv-1)</f>
        <v>2.4190990682267759</v>
      </c>
      <c r="O28" s="293">
        <f t="shared" ref="O28:O39" si="43">+AH28/($T28-AH28)*(Nserv-1)</f>
        <v>2.6058190861193284</v>
      </c>
      <c r="P28" s="334">
        <f t="shared" ref="P28:P39" si="44">+AI28/($T28-AI28)*(Nserv-1)</f>
        <v>0.42878388758349362</v>
      </c>
      <c r="Q28" s="271">
        <f t="shared" ref="Q28:Q39" si="45">AVERAGE(B28:P28)</f>
        <v>1.0563438258224285</v>
      </c>
      <c r="R28" s="4"/>
      <c r="S28" s="297">
        <v>44941</v>
      </c>
      <c r="T28" s="335">
        <f>SUM(U28:AI28)</f>
        <v>697.57497810292057</v>
      </c>
      <c r="U28" s="299">
        <f>U8*U$23</f>
        <v>13.656340716465818</v>
      </c>
      <c r="V28" s="299">
        <f t="shared" ref="U28:AI39" si="46">V8*V$23</f>
        <v>27.791584877450759</v>
      </c>
      <c r="W28" s="299">
        <f t="shared" si="46"/>
        <v>27.080980494915426</v>
      </c>
      <c r="X28" s="299">
        <f t="shared" si="46"/>
        <v>26.823656651521439</v>
      </c>
      <c r="Y28" s="299">
        <f t="shared" si="46"/>
        <v>17.712870167861574</v>
      </c>
      <c r="Z28" s="299">
        <f t="shared" si="46"/>
        <v>19.476596293760231</v>
      </c>
      <c r="AA28" s="299">
        <f t="shared" si="46"/>
        <v>18.715632683677921</v>
      </c>
      <c r="AB28" s="299">
        <f t="shared" si="46"/>
        <v>28.412498853492824</v>
      </c>
      <c r="AC28" s="299">
        <f t="shared" si="46"/>
        <v>26.945307849933332</v>
      </c>
      <c r="AD28" s="299">
        <f t="shared" si="46"/>
        <v>30.425624417801536</v>
      </c>
      <c r="AE28" s="299">
        <f t="shared" si="46"/>
        <v>112.21271881624351</v>
      </c>
      <c r="AF28" s="299">
        <f t="shared" si="46"/>
        <v>115.34942744192716</v>
      </c>
      <c r="AG28" s="299">
        <f t="shared" si="46"/>
        <v>102.77683157492119</v>
      </c>
      <c r="AH28" s="299">
        <f>AH8*AH$23</f>
        <v>109.46489194617983</v>
      </c>
      <c r="AI28" s="299">
        <f t="shared" ref="AI28" si="47">AI8*AI$23</f>
        <v>20.730015316767968</v>
      </c>
    </row>
    <row r="29" spans="1:35" s="300" customFormat="1" x14ac:dyDescent="0.25">
      <c r="A29" s="301">
        <v>44972</v>
      </c>
      <c r="B29" s="302">
        <f t="shared" ref="B29:B39" si="48">+U29/($T29-U29)*(Nserv-1)</f>
        <v>0.31709572306796152</v>
      </c>
      <c r="C29" s="302">
        <f t="shared" si="31"/>
        <v>0.55741643845761013</v>
      </c>
      <c r="D29" s="302">
        <f t="shared" si="32"/>
        <v>0.56208488065620843</v>
      </c>
      <c r="E29" s="302">
        <f t="shared" si="33"/>
        <v>0.5493972346411895</v>
      </c>
      <c r="F29" s="302">
        <f t="shared" si="34"/>
        <v>0.3820152401357565</v>
      </c>
      <c r="G29" s="302">
        <f t="shared" si="35"/>
        <v>0.42029074681385781</v>
      </c>
      <c r="H29" s="302">
        <f t="shared" si="36"/>
        <v>0.42879861361292143</v>
      </c>
      <c r="I29" s="302">
        <f t="shared" si="37"/>
        <v>0.59044539600478008</v>
      </c>
      <c r="J29" s="302">
        <f t="shared" si="38"/>
        <v>0.56664223117699619</v>
      </c>
      <c r="K29" s="302">
        <f t="shared" si="39"/>
        <v>0.62289235567713586</v>
      </c>
      <c r="L29" s="302">
        <f t="shared" si="40"/>
        <v>2.6439482230011615</v>
      </c>
      <c r="M29" s="302">
        <f t="shared" si="41"/>
        <v>2.6902025923761665</v>
      </c>
      <c r="N29" s="336">
        <f t="shared" si="42"/>
        <v>2.3803336104828059</v>
      </c>
      <c r="O29" s="302">
        <f t="shared" si="43"/>
        <v>2.6194455267629557</v>
      </c>
      <c r="P29" s="336">
        <f t="shared" si="44"/>
        <v>0.47540364654598011</v>
      </c>
      <c r="Q29" s="271">
        <f t="shared" si="45"/>
        <v>1.0537608306275659</v>
      </c>
      <c r="R29" s="4"/>
      <c r="S29" s="297">
        <v>44972</v>
      </c>
      <c r="T29" s="335">
        <f t="shared" ref="T29:T39" si="49">SUM(U29:AI29)</f>
        <v>937.16201935380991</v>
      </c>
      <c r="U29" s="305">
        <f t="shared" si="46"/>
        <v>20.756309373556924</v>
      </c>
      <c r="V29" s="305">
        <f t="shared" si="46"/>
        <v>35.884768241286288</v>
      </c>
      <c r="W29" s="305">
        <f t="shared" si="46"/>
        <v>36.17370768822768</v>
      </c>
      <c r="X29" s="305">
        <f t="shared" si="46"/>
        <v>35.388010481826242</v>
      </c>
      <c r="Y29" s="305">
        <f t="shared" si="46"/>
        <v>24.892907418875517</v>
      </c>
      <c r="Z29" s="305">
        <f t="shared" si="46"/>
        <v>27.314326175207192</v>
      </c>
      <c r="AA29" s="305">
        <f t="shared" si="46"/>
        <v>27.850813182080774</v>
      </c>
      <c r="AB29" s="305">
        <f t="shared" si="46"/>
        <v>37.925024536229614</v>
      </c>
      <c r="AC29" s="305">
        <f t="shared" si="46"/>
        <v>36.455592798483529</v>
      </c>
      <c r="AD29" s="305">
        <f t="shared" si="46"/>
        <v>39.920355268142487</v>
      </c>
      <c r="AE29" s="305">
        <f t="shared" si="46"/>
        <v>148.87139893348566</v>
      </c>
      <c r="AF29" s="305">
        <f t="shared" si="46"/>
        <v>151.05602703071614</v>
      </c>
      <c r="AG29" s="305">
        <f t="shared" si="46"/>
        <v>136.18515386696453</v>
      </c>
      <c r="AH29" s="305">
        <f t="shared" si="46"/>
        <v>147.70919135029754</v>
      </c>
      <c r="AI29" s="305">
        <f t="shared" si="46"/>
        <v>30.778433008429779</v>
      </c>
    </row>
    <row r="30" spans="1:35" s="300" customFormat="1" x14ac:dyDescent="0.25">
      <c r="A30" s="301">
        <v>45000</v>
      </c>
      <c r="B30" s="302">
        <f t="shared" si="48"/>
        <v>0.34322867343770863</v>
      </c>
      <c r="C30" s="302">
        <f t="shared" si="31"/>
        <v>0.52535176405359918</v>
      </c>
      <c r="D30" s="302">
        <f t="shared" si="32"/>
        <v>0.54620809364877643</v>
      </c>
      <c r="E30" s="302">
        <f t="shared" si="33"/>
        <v>0.54104510066414468</v>
      </c>
      <c r="F30" s="302">
        <f t="shared" si="34"/>
        <v>0.41475805957688977</v>
      </c>
      <c r="G30" s="302">
        <f t="shared" si="35"/>
        <v>0.45443979501333681</v>
      </c>
      <c r="H30" s="302">
        <f t="shared" si="36"/>
        <v>0.47757815075470289</v>
      </c>
      <c r="I30" s="302">
        <f t="shared" si="37"/>
        <v>0.57722909359824437</v>
      </c>
      <c r="J30" s="302">
        <f t="shared" si="38"/>
        <v>0.56563129404217494</v>
      </c>
      <c r="K30" s="302">
        <f t="shared" si="39"/>
        <v>0.59921179570012351</v>
      </c>
      <c r="L30" s="302">
        <f t="shared" si="40"/>
        <v>2.6037580677730476</v>
      </c>
      <c r="M30" s="302">
        <f t="shared" si="41"/>
        <v>2.6676104187626364</v>
      </c>
      <c r="N30" s="336">
        <f t="shared" si="42"/>
        <v>2.3455769379762361</v>
      </c>
      <c r="O30" s="302">
        <f t="shared" si="43"/>
        <v>2.5945951990137335</v>
      </c>
      <c r="P30" s="336">
        <f t="shared" si="44"/>
        <v>0.51910157931111534</v>
      </c>
      <c r="Q30" s="271">
        <f t="shared" si="45"/>
        <v>1.0516882682217645</v>
      </c>
      <c r="R30" s="4"/>
      <c r="S30" s="297">
        <v>45000</v>
      </c>
      <c r="T30" s="335">
        <f t="shared" si="49"/>
        <v>1208.9928756593172</v>
      </c>
      <c r="U30" s="305">
        <f t="shared" si="46"/>
        <v>28.930795872804865</v>
      </c>
      <c r="V30" s="305">
        <f t="shared" si="46"/>
        <v>43.726757897022189</v>
      </c>
      <c r="W30" s="305">
        <f t="shared" si="46"/>
        <v>45.397514568567019</v>
      </c>
      <c r="X30" s="305">
        <f t="shared" si="46"/>
        <v>44.984364437701444</v>
      </c>
      <c r="Y30" s="305">
        <f t="shared" si="46"/>
        <v>34.78653870417169</v>
      </c>
      <c r="Z30" s="305">
        <f t="shared" si="46"/>
        <v>38.010084263296612</v>
      </c>
      <c r="AA30" s="305">
        <f t="shared" si="46"/>
        <v>39.881572443999438</v>
      </c>
      <c r="AB30" s="305">
        <f t="shared" si="46"/>
        <v>47.873697895715885</v>
      </c>
      <c r="AC30" s="305">
        <f t="shared" si="46"/>
        <v>46.949163475438567</v>
      </c>
      <c r="AD30" s="305">
        <f t="shared" si="46"/>
        <v>49.622048241388228</v>
      </c>
      <c r="AE30" s="305">
        <f t="shared" si="46"/>
        <v>189.59111190544434</v>
      </c>
      <c r="AF30" s="305">
        <f t="shared" si="46"/>
        <v>193.49636272324273</v>
      </c>
      <c r="AG30" s="305">
        <f t="shared" si="46"/>
        <v>173.48949003663418</v>
      </c>
      <c r="AH30" s="305">
        <f t="shared" si="46"/>
        <v>189.02823920729949</v>
      </c>
      <c r="AI30" s="305">
        <f t="shared" si="46"/>
        <v>43.225133986590336</v>
      </c>
    </row>
    <row r="31" spans="1:35" s="300" customFormat="1" x14ac:dyDescent="0.25">
      <c r="A31" s="301">
        <v>45031</v>
      </c>
      <c r="B31" s="302">
        <f t="shared" si="48"/>
        <v>0.35050065323099588</v>
      </c>
      <c r="C31" s="302">
        <f t="shared" si="31"/>
        <v>0.49988848225170424</v>
      </c>
      <c r="D31" s="302">
        <f t="shared" si="32"/>
        <v>0.53391312402860636</v>
      </c>
      <c r="E31" s="302">
        <f t="shared" si="33"/>
        <v>0.54371970544541337</v>
      </c>
      <c r="F31" s="302">
        <f t="shared" si="34"/>
        <v>0.45127554617691124</v>
      </c>
      <c r="G31" s="302">
        <f t="shared" si="35"/>
        <v>0.49439163981956935</v>
      </c>
      <c r="H31" s="302">
        <f t="shared" si="36"/>
        <v>0.51892463341126216</v>
      </c>
      <c r="I31" s="302">
        <f t="shared" si="37"/>
        <v>0.56223343786425017</v>
      </c>
      <c r="J31" s="302">
        <f t="shared" si="38"/>
        <v>0.57039853022723741</v>
      </c>
      <c r="K31" s="302">
        <f t="shared" si="39"/>
        <v>0.57813089359017988</v>
      </c>
      <c r="L31" s="302">
        <f t="shared" si="40"/>
        <v>2.5915750184584336</v>
      </c>
      <c r="M31" s="302">
        <f t="shared" si="41"/>
        <v>2.6276805037302657</v>
      </c>
      <c r="N31" s="336">
        <f t="shared" si="42"/>
        <v>2.2930356859751448</v>
      </c>
      <c r="O31" s="302">
        <f t="shared" si="43"/>
        <v>2.5645106054779139</v>
      </c>
      <c r="P31" s="336">
        <f t="shared" si="44"/>
        <v>0.56364259971433761</v>
      </c>
      <c r="Q31" s="271">
        <f t="shared" si="45"/>
        <v>1.0495880706268153</v>
      </c>
      <c r="R31" s="4"/>
      <c r="S31" s="297">
        <v>45031</v>
      </c>
      <c r="T31" s="335">
        <f t="shared" si="49"/>
        <v>1427.9054877540136</v>
      </c>
      <c r="U31" s="305">
        <f t="shared" si="46"/>
        <v>34.875564156517619</v>
      </c>
      <c r="V31" s="305">
        <f t="shared" si="46"/>
        <v>49.227517021661093</v>
      </c>
      <c r="W31" s="305">
        <f t="shared" si="46"/>
        <v>52.455073405104784</v>
      </c>
      <c r="X31" s="305">
        <f t="shared" si="46"/>
        <v>53.382516091451606</v>
      </c>
      <c r="Y31" s="305">
        <f t="shared" si="46"/>
        <v>44.589754504104796</v>
      </c>
      <c r="Z31" s="305">
        <f t="shared" si="46"/>
        <v>48.704668201366232</v>
      </c>
      <c r="AA31" s="305">
        <f t="shared" si="46"/>
        <v>51.035138654383026</v>
      </c>
      <c r="AB31" s="305">
        <f t="shared" si="46"/>
        <v>55.130019357999799</v>
      </c>
      <c r="AC31" s="305">
        <f t="shared" si="46"/>
        <v>55.899307752537752</v>
      </c>
      <c r="AD31" s="305">
        <f t="shared" si="46"/>
        <v>56.62703138167862</v>
      </c>
      <c r="AE31" s="305">
        <f t="shared" si="46"/>
        <v>223.03634143630759</v>
      </c>
      <c r="AF31" s="305">
        <f t="shared" si="46"/>
        <v>225.65260443264671</v>
      </c>
      <c r="AG31" s="305">
        <f t="shared" si="46"/>
        <v>200.95937323933589</v>
      </c>
      <c r="AH31" s="305">
        <f t="shared" si="46"/>
        <v>221.06773053435646</v>
      </c>
      <c r="AI31" s="305">
        <f t="shared" si="46"/>
        <v>55.26284758456157</v>
      </c>
    </row>
    <row r="32" spans="1:35" s="300" customFormat="1" x14ac:dyDescent="0.25">
      <c r="A32" s="301">
        <v>45061</v>
      </c>
      <c r="B32" s="302">
        <f t="shared" si="48"/>
        <v>0.38153622570000267</v>
      </c>
      <c r="C32" s="302">
        <f t="shared" si="31"/>
        <v>0.47933110871823881</v>
      </c>
      <c r="D32" s="302">
        <f t="shared" si="32"/>
        <v>0.51576486565301993</v>
      </c>
      <c r="E32" s="302">
        <f t="shared" si="33"/>
        <v>0.5406936142597123</v>
      </c>
      <c r="F32" s="302">
        <f t="shared" si="34"/>
        <v>0.46719704449487226</v>
      </c>
      <c r="G32" s="302">
        <f t="shared" si="35"/>
        <v>0.56249199548571371</v>
      </c>
      <c r="H32" s="302">
        <f t="shared" si="36"/>
        <v>0.53775936303217453</v>
      </c>
      <c r="I32" s="302">
        <f t="shared" si="37"/>
        <v>0.54927861539532286</v>
      </c>
      <c r="J32" s="302">
        <f t="shared" si="38"/>
        <v>0.56459773337392349</v>
      </c>
      <c r="K32" s="302">
        <f t="shared" si="39"/>
        <v>0.55669420856437402</v>
      </c>
      <c r="L32" s="302">
        <f t="shared" si="40"/>
        <v>2.5926994810861412</v>
      </c>
      <c r="M32" s="302">
        <f t="shared" si="41"/>
        <v>2.5891118103979989</v>
      </c>
      <c r="N32" s="336">
        <f t="shared" si="42"/>
        <v>2.2570435414695291</v>
      </c>
      <c r="O32" s="302">
        <f t="shared" si="43"/>
        <v>2.5470772001282627</v>
      </c>
      <c r="P32" s="336">
        <f t="shared" si="44"/>
        <v>0.58160135326544093</v>
      </c>
      <c r="Q32" s="271">
        <f t="shared" si="45"/>
        <v>1.0481918774016483</v>
      </c>
      <c r="R32" s="4"/>
      <c r="S32" s="297">
        <v>45061</v>
      </c>
      <c r="T32" s="335">
        <f t="shared" si="49"/>
        <v>1534.1309783888446</v>
      </c>
      <c r="U32" s="305">
        <f t="shared" si="46"/>
        <v>40.699862242668182</v>
      </c>
      <c r="V32" s="305">
        <f t="shared" si="46"/>
        <v>50.786648724909064</v>
      </c>
      <c r="W32" s="305">
        <f t="shared" si="46"/>
        <v>54.509759925576091</v>
      </c>
      <c r="X32" s="305">
        <f t="shared" si="46"/>
        <v>57.046441212363291</v>
      </c>
      <c r="Y32" s="305">
        <f t="shared" si="46"/>
        <v>49.542524150801754</v>
      </c>
      <c r="Z32" s="305">
        <f t="shared" si="46"/>
        <v>59.257467447047986</v>
      </c>
      <c r="AA32" s="305">
        <f t="shared" si="46"/>
        <v>56.748311561971057</v>
      </c>
      <c r="AB32" s="305">
        <f t="shared" si="46"/>
        <v>57.918015175874764</v>
      </c>
      <c r="AC32" s="305">
        <f t="shared" si="46"/>
        <v>59.470703479320306</v>
      </c>
      <c r="AD32" s="305">
        <f t="shared" si="46"/>
        <v>58.670039956310575</v>
      </c>
      <c r="AE32" s="305">
        <f t="shared" si="46"/>
        <v>239.71630391551969</v>
      </c>
      <c r="AF32" s="305">
        <f t="shared" si="46"/>
        <v>239.43636526425337</v>
      </c>
      <c r="AG32" s="305">
        <f t="shared" si="46"/>
        <v>212.99078197756216</v>
      </c>
      <c r="AH32" s="305">
        <f t="shared" si="46"/>
        <v>236.14744705695827</v>
      </c>
      <c r="AI32" s="305">
        <f t="shared" si="46"/>
        <v>61.190306297708076</v>
      </c>
    </row>
    <row r="33" spans="1:35" s="300" customFormat="1" x14ac:dyDescent="0.25">
      <c r="A33" s="301">
        <v>45092</v>
      </c>
      <c r="B33" s="302">
        <f t="shared" si="48"/>
        <v>0.37567828587085933</v>
      </c>
      <c r="C33" s="302">
        <f t="shared" si="31"/>
        <v>0.46537007954106069</v>
      </c>
      <c r="D33" s="302">
        <f t="shared" si="32"/>
        <v>0.50341338365900068</v>
      </c>
      <c r="E33" s="302">
        <f t="shared" si="33"/>
        <v>0.53672472949163186</v>
      </c>
      <c r="F33" s="302">
        <f t="shared" si="34"/>
        <v>0.46634564315936</v>
      </c>
      <c r="G33" s="302">
        <f t="shared" si="35"/>
        <v>0.56319906945117726</v>
      </c>
      <c r="H33" s="302">
        <f t="shared" si="36"/>
        <v>0.53796316690595336</v>
      </c>
      <c r="I33" s="302">
        <f t="shared" si="37"/>
        <v>0.54373051667499595</v>
      </c>
      <c r="J33" s="302">
        <f t="shared" si="38"/>
        <v>0.55644427015449549</v>
      </c>
      <c r="K33" s="302">
        <f t="shared" si="39"/>
        <v>0.54586353178943392</v>
      </c>
      <c r="L33" s="302">
        <f t="shared" si="40"/>
        <v>2.6061361233882305</v>
      </c>
      <c r="M33" s="302">
        <f t="shared" si="41"/>
        <v>2.6196409235279932</v>
      </c>
      <c r="N33" s="336">
        <f t="shared" si="42"/>
        <v>2.2567624515089069</v>
      </c>
      <c r="O33" s="302">
        <f t="shared" si="43"/>
        <v>2.5720643581929119</v>
      </c>
      <c r="P33" s="336">
        <f t="shared" si="44"/>
        <v>0.58978791539893938</v>
      </c>
      <c r="Q33" s="271">
        <f t="shared" si="45"/>
        <v>1.0492749632476632</v>
      </c>
      <c r="R33" s="4"/>
      <c r="S33" s="297">
        <v>45092</v>
      </c>
      <c r="T33" s="335">
        <f t="shared" si="49"/>
        <v>1544.3685426490342</v>
      </c>
      <c r="U33" s="305">
        <f t="shared" si="46"/>
        <v>40.358841879864691</v>
      </c>
      <c r="V33" s="305">
        <f t="shared" si="46"/>
        <v>49.684377764367241</v>
      </c>
      <c r="W33" s="305">
        <f t="shared" si="46"/>
        <v>53.605022011399718</v>
      </c>
      <c r="X33" s="305">
        <f t="shared" si="46"/>
        <v>57.021151855963936</v>
      </c>
      <c r="Y33" s="305">
        <f t="shared" si="46"/>
        <v>49.785174436040784</v>
      </c>
      <c r="Z33" s="305">
        <f t="shared" si="46"/>
        <v>59.724990502542468</v>
      </c>
      <c r="AA33" s="305">
        <f t="shared" si="46"/>
        <v>57.147853694158485</v>
      </c>
      <c r="AB33" s="305">
        <f t="shared" si="46"/>
        <v>57.737614477138131</v>
      </c>
      <c r="AC33" s="305">
        <f t="shared" si="46"/>
        <v>59.036053765263574</v>
      </c>
      <c r="AD33" s="305">
        <f t="shared" si="46"/>
        <v>57.955615026397481</v>
      </c>
      <c r="AE33" s="305">
        <f t="shared" si="46"/>
        <v>242.37032726435817</v>
      </c>
      <c r="AF33" s="305">
        <f t="shared" si="46"/>
        <v>243.42830593922864</v>
      </c>
      <c r="AG33" s="305">
        <f t="shared" si="46"/>
        <v>214.38911645155883</v>
      </c>
      <c r="AH33" s="305">
        <f t="shared" si="46"/>
        <v>239.69345029112947</v>
      </c>
      <c r="AI33" s="305">
        <f t="shared" si="46"/>
        <v>62.430647289622769</v>
      </c>
    </row>
    <row r="34" spans="1:35" s="300" customFormat="1" x14ac:dyDescent="0.25">
      <c r="A34" s="301">
        <v>45122</v>
      </c>
      <c r="B34" s="302">
        <f t="shared" si="48"/>
        <v>0.37226572509324268</v>
      </c>
      <c r="C34" s="302">
        <f t="shared" si="31"/>
        <v>0.45841547685381295</v>
      </c>
      <c r="D34" s="302">
        <f t="shared" si="32"/>
        <v>0.50214450892143347</v>
      </c>
      <c r="E34" s="302">
        <f t="shared" si="33"/>
        <v>0.53083444823468517</v>
      </c>
      <c r="F34" s="302">
        <f t="shared" si="34"/>
        <v>0.45730900001497021</v>
      </c>
      <c r="G34" s="302">
        <f t="shared" si="35"/>
        <v>0.55964927191178515</v>
      </c>
      <c r="H34" s="302">
        <f t="shared" si="36"/>
        <v>0.53158625948779725</v>
      </c>
      <c r="I34" s="302">
        <f t="shared" si="37"/>
        <v>0.53643575462748239</v>
      </c>
      <c r="J34" s="302">
        <f t="shared" si="38"/>
        <v>0.55536433822906939</v>
      </c>
      <c r="K34" s="302">
        <f t="shared" si="39"/>
        <v>0.54181505635844629</v>
      </c>
      <c r="L34" s="302">
        <f t="shared" si="40"/>
        <v>2.6141966813206534</v>
      </c>
      <c r="M34" s="302">
        <f t="shared" si="41"/>
        <v>2.6353088575608563</v>
      </c>
      <c r="N34" s="336">
        <f t="shared" si="42"/>
        <v>2.2811630558408362</v>
      </c>
      <c r="O34" s="302">
        <f t="shared" si="43"/>
        <v>2.5917563494379459</v>
      </c>
      <c r="P34" s="336">
        <f t="shared" si="44"/>
        <v>0.5861423797545513</v>
      </c>
      <c r="Q34" s="271">
        <f t="shared" si="45"/>
        <v>1.0502924775765046</v>
      </c>
      <c r="R34" s="4"/>
      <c r="S34" s="297">
        <v>45122</v>
      </c>
      <c r="T34" s="335">
        <f t="shared" si="49"/>
        <v>1490.6117383716985</v>
      </c>
      <c r="U34" s="305">
        <f t="shared" si="46"/>
        <v>38.609337611160768</v>
      </c>
      <c r="V34" s="305">
        <f t="shared" si="46"/>
        <v>47.261021924806748</v>
      </c>
      <c r="W34" s="305">
        <f t="shared" si="46"/>
        <v>51.613228574347538</v>
      </c>
      <c r="X34" s="305">
        <f t="shared" si="46"/>
        <v>54.454412958150144</v>
      </c>
      <c r="Y34" s="305">
        <f t="shared" si="46"/>
        <v>47.15055640608027</v>
      </c>
      <c r="Z34" s="305">
        <f t="shared" si="46"/>
        <v>57.296694343609175</v>
      </c>
      <c r="AA34" s="305">
        <f t="shared" si="46"/>
        <v>54.528714498202625</v>
      </c>
      <c r="AB34" s="305">
        <f t="shared" si="46"/>
        <v>55.007805642828075</v>
      </c>
      <c r="AC34" s="305">
        <f t="shared" si="46"/>
        <v>56.874742699707802</v>
      </c>
      <c r="AD34" s="305">
        <f t="shared" si="46"/>
        <v>55.538863608451848</v>
      </c>
      <c r="AE34" s="305">
        <f t="shared" si="46"/>
        <v>234.54352529544954</v>
      </c>
      <c r="AF34" s="305">
        <f t="shared" si="46"/>
        <v>236.13762455211165</v>
      </c>
      <c r="AG34" s="305">
        <f t="shared" si="46"/>
        <v>208.85046212692669</v>
      </c>
      <c r="AH34" s="305">
        <f t="shared" si="46"/>
        <v>232.84469444384379</v>
      </c>
      <c r="AI34" s="305">
        <f t="shared" si="46"/>
        <v>59.900053686021835</v>
      </c>
    </row>
    <row r="35" spans="1:35" s="300" customFormat="1" x14ac:dyDescent="0.25">
      <c r="A35" s="301">
        <v>45153</v>
      </c>
      <c r="B35" s="302">
        <f t="shared" si="48"/>
        <v>0.371341428264783</v>
      </c>
      <c r="C35" s="302">
        <f t="shared" si="31"/>
        <v>0.46701061640588942</v>
      </c>
      <c r="D35" s="302">
        <f t="shared" si="32"/>
        <v>0.51506613957260916</v>
      </c>
      <c r="E35" s="302">
        <f t="shared" si="33"/>
        <v>0.53093956126079667</v>
      </c>
      <c r="F35" s="302">
        <f t="shared" si="34"/>
        <v>0.44141386000955385</v>
      </c>
      <c r="G35" s="302">
        <f t="shared" si="35"/>
        <v>0.54549719899963001</v>
      </c>
      <c r="H35" s="302">
        <f t="shared" si="36"/>
        <v>0.51686542243739664</v>
      </c>
      <c r="I35" s="302">
        <f t="shared" si="37"/>
        <v>0.53622531840837773</v>
      </c>
      <c r="J35" s="302">
        <f t="shared" si="38"/>
        <v>0.55830657432302178</v>
      </c>
      <c r="K35" s="302">
        <f t="shared" si="39"/>
        <v>0.54904889494077436</v>
      </c>
      <c r="L35" s="302">
        <f t="shared" si="40"/>
        <v>2.6159382985632238</v>
      </c>
      <c r="M35" s="302">
        <f t="shared" si="41"/>
        <v>2.6503141672496624</v>
      </c>
      <c r="N35" s="336">
        <f t="shared" si="42"/>
        <v>2.3133773469523211</v>
      </c>
      <c r="O35" s="302">
        <f t="shared" si="43"/>
        <v>2.5883871923745332</v>
      </c>
      <c r="P35" s="336">
        <f t="shared" si="44"/>
        <v>0.56439491419369625</v>
      </c>
      <c r="Q35" s="271">
        <f t="shared" si="45"/>
        <v>1.0509417955970848</v>
      </c>
      <c r="R35" s="4"/>
      <c r="S35" s="297">
        <v>45153</v>
      </c>
      <c r="T35" s="335">
        <f t="shared" si="49"/>
        <v>1378.9431393539619</v>
      </c>
      <c r="U35" s="305">
        <f t="shared" si="46"/>
        <v>35.630544122800835</v>
      </c>
      <c r="V35" s="305">
        <f t="shared" si="46"/>
        <v>44.513763248924292</v>
      </c>
      <c r="W35" s="305">
        <f t="shared" si="46"/>
        <v>48.931703972111038</v>
      </c>
      <c r="X35" s="305">
        <f t="shared" si="46"/>
        <v>50.384592291887103</v>
      </c>
      <c r="Y35" s="305">
        <f t="shared" si="46"/>
        <v>42.148547211257736</v>
      </c>
      <c r="Z35" s="305">
        <f t="shared" si="46"/>
        <v>51.71425973318231</v>
      </c>
      <c r="AA35" s="305">
        <f t="shared" si="46"/>
        <v>49.096551321453774</v>
      </c>
      <c r="AB35" s="305">
        <f t="shared" si="46"/>
        <v>50.867691424040778</v>
      </c>
      <c r="AC35" s="305">
        <f t="shared" si="46"/>
        <v>52.882044789247317</v>
      </c>
      <c r="AD35" s="305">
        <f t="shared" si="46"/>
        <v>52.038261216630346</v>
      </c>
      <c r="AE35" s="305">
        <f t="shared" si="46"/>
        <v>217.09458141698502</v>
      </c>
      <c r="AF35" s="305">
        <f t="shared" si="46"/>
        <v>219.49330813529096</v>
      </c>
      <c r="AG35" s="305">
        <f t="shared" si="46"/>
        <v>195.54600825271382</v>
      </c>
      <c r="AH35" s="305">
        <f t="shared" si="46"/>
        <v>215.16490539582165</v>
      </c>
      <c r="AI35" s="305">
        <f t="shared" si="46"/>
        <v>53.436376821614864</v>
      </c>
    </row>
    <row r="36" spans="1:35" s="315" customFormat="1" x14ac:dyDescent="0.25">
      <c r="A36" s="306">
        <v>45184</v>
      </c>
      <c r="B36" s="307">
        <f t="shared" si="48"/>
        <v>0.37009509048523009</v>
      </c>
      <c r="C36" s="307">
        <f t="shared" si="31"/>
        <v>0.49576599747838784</v>
      </c>
      <c r="D36" s="307">
        <f t="shared" si="32"/>
        <v>0.53475654441463338</v>
      </c>
      <c r="E36" s="307">
        <f t="shared" si="33"/>
        <v>0.53478753082973818</v>
      </c>
      <c r="F36" s="307">
        <f t="shared" si="34"/>
        <v>0.40418785445209715</v>
      </c>
      <c r="G36" s="307">
        <f t="shared" si="35"/>
        <v>0.51329346715246882</v>
      </c>
      <c r="H36" s="307">
        <f t="shared" si="36"/>
        <v>0.48007913657284423</v>
      </c>
      <c r="I36" s="307">
        <f t="shared" si="37"/>
        <v>0.54886304529238239</v>
      </c>
      <c r="J36" s="307">
        <f t="shared" si="38"/>
        <v>0.56064976491923901</v>
      </c>
      <c r="K36" s="307">
        <f t="shared" si="39"/>
        <v>0.5726269929320138</v>
      </c>
      <c r="L36" s="307">
        <f t="shared" si="40"/>
        <v>2.6030255890320837</v>
      </c>
      <c r="M36" s="307">
        <f t="shared" si="41"/>
        <v>2.6656526385916339</v>
      </c>
      <c r="N36" s="337">
        <f t="shared" si="42"/>
        <v>2.3606432095557897</v>
      </c>
      <c r="O36" s="307">
        <f t="shared" si="43"/>
        <v>2.5888342285134103</v>
      </c>
      <c r="P36" s="337">
        <f t="shared" si="44"/>
        <v>0.5420855604748458</v>
      </c>
      <c r="Q36" s="310">
        <f t="shared" si="45"/>
        <v>1.0516897767131197</v>
      </c>
      <c r="R36" s="338"/>
      <c r="S36" s="312">
        <v>45184</v>
      </c>
      <c r="T36" s="339">
        <f t="shared" si="49"/>
        <v>1201.2387988181176</v>
      </c>
      <c r="U36" s="314">
        <f t="shared" si="46"/>
        <v>30.937344474311939</v>
      </c>
      <c r="V36" s="314">
        <f t="shared" si="46"/>
        <v>41.083261926924081</v>
      </c>
      <c r="W36" s="314">
        <f t="shared" si="46"/>
        <v>44.195463963213712</v>
      </c>
      <c r="X36" s="314">
        <f t="shared" si="46"/>
        <v>44.197930640142559</v>
      </c>
      <c r="Y36" s="314">
        <f t="shared" si="46"/>
        <v>33.707289691368558</v>
      </c>
      <c r="Z36" s="314">
        <f t="shared" si="46"/>
        <v>42.484362995823453</v>
      </c>
      <c r="AA36" s="314">
        <f t="shared" si="46"/>
        <v>39.82641806824364</v>
      </c>
      <c r="AB36" s="314">
        <f t="shared" si="46"/>
        <v>45.317327078421577</v>
      </c>
      <c r="AC36" s="314">
        <f t="shared" si="46"/>
        <v>46.253035478666497</v>
      </c>
      <c r="AD36" s="314">
        <f t="shared" si="46"/>
        <v>47.202317159020701</v>
      </c>
      <c r="AE36" s="314">
        <f t="shared" si="46"/>
        <v>188.33045309087015</v>
      </c>
      <c r="AF36" s="314">
        <f t="shared" si="46"/>
        <v>192.13681234620759</v>
      </c>
      <c r="AG36" s="314">
        <f t="shared" si="46"/>
        <v>173.32424997989645</v>
      </c>
      <c r="AH36" s="314">
        <f t="shared" si="46"/>
        <v>187.46393364118626</v>
      </c>
      <c r="AI36" s="314">
        <f t="shared" si="46"/>
        <v>44.778598283820507</v>
      </c>
    </row>
    <row r="37" spans="1:35" s="318" customFormat="1" x14ac:dyDescent="0.25">
      <c r="A37" s="301">
        <v>44849</v>
      </c>
      <c r="B37" s="302">
        <f>+U37/($T37-U37)*(Nserv-1)</f>
        <v>0.3274822502664444</v>
      </c>
      <c r="C37" s="302">
        <f t="shared" si="31"/>
        <v>0.54471217420521612</v>
      </c>
      <c r="D37" s="302">
        <f t="shared" si="32"/>
        <v>0.55641047987428094</v>
      </c>
      <c r="E37" s="302">
        <f t="shared" si="33"/>
        <v>0.53981223374471132</v>
      </c>
      <c r="F37" s="302">
        <f t="shared" si="34"/>
        <v>0.37110346768753555</v>
      </c>
      <c r="G37" s="302">
        <f t="shared" si="35"/>
        <v>0.43794670591235191</v>
      </c>
      <c r="H37" s="302">
        <f t="shared" si="36"/>
        <v>0.40866691248376918</v>
      </c>
      <c r="I37" s="302">
        <f t="shared" si="37"/>
        <v>0.57071402472087973</v>
      </c>
      <c r="J37" s="302">
        <f t="shared" si="38"/>
        <v>0.56494679752740917</v>
      </c>
      <c r="K37" s="302">
        <f t="shared" si="39"/>
        <v>0.60939069579145422</v>
      </c>
      <c r="L37" s="302">
        <f t="shared" si="40"/>
        <v>2.6421750622862215</v>
      </c>
      <c r="M37" s="302">
        <f t="shared" si="41"/>
        <v>2.7029975184714505</v>
      </c>
      <c r="N37" s="336">
        <f t="shared" si="42"/>
        <v>2.4205263130735744</v>
      </c>
      <c r="O37" s="302">
        <f t="shared" si="43"/>
        <v>2.6116676172468347</v>
      </c>
      <c r="P37" s="336">
        <f t="shared" si="44"/>
        <v>0.50680228068693334</v>
      </c>
      <c r="Q37" s="271">
        <f t="shared" si="45"/>
        <v>1.0543569689319379</v>
      </c>
      <c r="R37" s="340"/>
      <c r="S37" s="297">
        <v>44849</v>
      </c>
      <c r="T37" s="335">
        <f t="shared" si="49"/>
        <v>978.91337558652731</v>
      </c>
      <c r="U37" s="305">
        <f>U17*U$23</f>
        <v>22.374953913974338</v>
      </c>
      <c r="V37" s="305">
        <f t="shared" si="46"/>
        <v>36.661160893920702</v>
      </c>
      <c r="W37" s="305">
        <f t="shared" si="46"/>
        <v>37.418404888933587</v>
      </c>
      <c r="X37" s="305">
        <f t="shared" si="46"/>
        <v>36.343620359246032</v>
      </c>
      <c r="Y37" s="305">
        <f t="shared" si="46"/>
        <v>25.278375391470657</v>
      </c>
      <c r="Z37" s="305">
        <f t="shared" si="46"/>
        <v>29.693411185407875</v>
      </c>
      <c r="AA37" s="305">
        <f t="shared" si="46"/>
        <v>27.764505156504434</v>
      </c>
      <c r="AB37" s="305">
        <f t="shared" si="46"/>
        <v>38.342636571291251</v>
      </c>
      <c r="AC37" s="305">
        <f t="shared" si="46"/>
        <v>37.970202313972017</v>
      </c>
      <c r="AD37" s="305">
        <f t="shared" si="46"/>
        <v>40.832688747250856</v>
      </c>
      <c r="AE37" s="305">
        <f t="shared" si="46"/>
        <v>155.41601379824883</v>
      </c>
      <c r="AF37" s="305">
        <f t="shared" si="46"/>
        <v>158.4147050302046</v>
      </c>
      <c r="AG37" s="305">
        <f t="shared" si="46"/>
        <v>144.30022148195971</v>
      </c>
      <c r="AH37" s="305">
        <f t="shared" si="46"/>
        <v>153.90365507041392</v>
      </c>
      <c r="AI37" s="305">
        <f t="shared" si="46"/>
        <v>34.198820783728522</v>
      </c>
    </row>
    <row r="38" spans="1:35" s="318" customFormat="1" x14ac:dyDescent="0.25">
      <c r="A38" s="301">
        <v>44880</v>
      </c>
      <c r="B38" s="302">
        <f t="shared" si="48"/>
        <v>0.26898601196134742</v>
      </c>
      <c r="C38" s="302">
        <f t="shared" si="31"/>
        <v>0.56269605204699058</v>
      </c>
      <c r="D38" s="302">
        <f t="shared" si="32"/>
        <v>0.56673757384355516</v>
      </c>
      <c r="E38" s="302">
        <f t="shared" si="33"/>
        <v>0.5478756563713707</v>
      </c>
      <c r="F38" s="302">
        <f t="shared" si="34"/>
        <v>0.33462179950153886</v>
      </c>
      <c r="G38" s="302">
        <f t="shared" si="35"/>
        <v>0.40650452729607955</v>
      </c>
      <c r="H38" s="302">
        <f t="shared" si="36"/>
        <v>0.39138659949692384</v>
      </c>
      <c r="I38" s="302">
        <f t="shared" si="37"/>
        <v>0.59298422421826702</v>
      </c>
      <c r="J38" s="302">
        <f t="shared" si="38"/>
        <v>0.55946323141425491</v>
      </c>
      <c r="K38" s="302">
        <f t="shared" si="39"/>
        <v>0.62411720659977643</v>
      </c>
      <c r="L38" s="302">
        <f t="shared" si="40"/>
        <v>2.7020237579229995</v>
      </c>
      <c r="M38" s="302">
        <f t="shared" si="41"/>
        <v>2.7865829612873045</v>
      </c>
      <c r="N38" s="336">
        <f t="shared" si="42"/>
        <v>2.4650799019713601</v>
      </c>
      <c r="O38" s="302">
        <f t="shared" si="43"/>
        <v>2.592808245512491</v>
      </c>
      <c r="P38" s="336">
        <f t="shared" si="44"/>
        <v>0.45822435734021794</v>
      </c>
      <c r="Q38" s="271">
        <f t="shared" si="45"/>
        <v>1.0573394737856316</v>
      </c>
      <c r="R38" s="340"/>
      <c r="S38" s="297">
        <v>44880</v>
      </c>
      <c r="T38" s="335">
        <f t="shared" si="49"/>
        <v>737.05782365597133</v>
      </c>
      <c r="U38" s="305">
        <f t="shared" si="46"/>
        <v>13.894347110855298</v>
      </c>
      <c r="V38" s="305">
        <f t="shared" si="46"/>
        <v>28.479584138766985</v>
      </c>
      <c r="W38" s="305">
        <f t="shared" si="46"/>
        <v>28.676178220665072</v>
      </c>
      <c r="X38" s="305">
        <f t="shared" si="46"/>
        <v>27.75773236295943</v>
      </c>
      <c r="Y38" s="305">
        <f t="shared" si="46"/>
        <v>17.205589288517213</v>
      </c>
      <c r="Z38" s="305">
        <f t="shared" si="46"/>
        <v>20.797365636297219</v>
      </c>
      <c r="AA38" s="305">
        <f t="shared" si="46"/>
        <v>20.04494516486675</v>
      </c>
      <c r="AB38" s="305">
        <f t="shared" si="46"/>
        <v>29.950259319769366</v>
      </c>
      <c r="AC38" s="305">
        <f t="shared" si="46"/>
        <v>28.322249605466592</v>
      </c>
      <c r="AD38" s="305">
        <f t="shared" si="46"/>
        <v>31.4556060720763</v>
      </c>
      <c r="AE38" s="305">
        <f t="shared" si="46"/>
        <v>119.2399064536546</v>
      </c>
      <c r="AF38" s="305">
        <f t="shared" si="46"/>
        <v>122.35204613230756</v>
      </c>
      <c r="AG38" s="305">
        <f t="shared" si="46"/>
        <v>110.3490805087164</v>
      </c>
      <c r="AH38" s="305">
        <f t="shared" si="46"/>
        <v>115.1733675408161</v>
      </c>
      <c r="AI38" s="305">
        <f t="shared" si="46"/>
        <v>23.359566100236425</v>
      </c>
    </row>
    <row r="39" spans="1:35" s="318" customFormat="1" x14ac:dyDescent="0.25">
      <c r="A39" s="319">
        <v>44910</v>
      </c>
      <c r="B39" s="320">
        <f t="shared" si="48"/>
        <v>0.24526101322409394</v>
      </c>
      <c r="C39" s="320">
        <f t="shared" si="31"/>
        <v>0.57141262824482419</v>
      </c>
      <c r="D39" s="320">
        <f t="shared" si="32"/>
        <v>0.56533432027877717</v>
      </c>
      <c r="E39" s="320">
        <f t="shared" si="33"/>
        <v>0.55412468250129909</v>
      </c>
      <c r="F39" s="320">
        <f t="shared" si="34"/>
        <v>0.34073753147921337</v>
      </c>
      <c r="G39" s="320">
        <f t="shared" si="35"/>
        <v>0.39986921544505932</v>
      </c>
      <c r="H39" s="320">
        <f t="shared" si="36"/>
        <v>0.36504311155387353</v>
      </c>
      <c r="I39" s="320">
        <f t="shared" si="37"/>
        <v>0.58962502986414977</v>
      </c>
      <c r="J39" s="320">
        <f t="shared" si="38"/>
        <v>0.55927423312577396</v>
      </c>
      <c r="K39" s="320">
        <f t="shared" si="39"/>
        <v>0.64533993090100927</v>
      </c>
      <c r="L39" s="320">
        <f t="shared" si="40"/>
        <v>2.7441187192164116</v>
      </c>
      <c r="M39" s="320">
        <f t="shared" si="41"/>
        <v>2.8227297990092381</v>
      </c>
      <c r="N39" s="341">
        <f t="shared" si="42"/>
        <v>2.4837117857067059</v>
      </c>
      <c r="O39" s="320">
        <f t="shared" si="43"/>
        <v>2.5882424015833871</v>
      </c>
      <c r="P39" s="341">
        <f t="shared" si="44"/>
        <v>0.41017979354545209</v>
      </c>
      <c r="Q39" s="271">
        <f t="shared" si="45"/>
        <v>1.0590002797119513</v>
      </c>
      <c r="R39" s="340"/>
      <c r="S39" s="297">
        <v>44910</v>
      </c>
      <c r="T39" s="342">
        <f t="shared" si="49"/>
        <v>604.18068190788892</v>
      </c>
      <c r="U39" s="324">
        <f t="shared" si="46"/>
        <v>10.402193829765087</v>
      </c>
      <c r="V39" s="324">
        <f t="shared" si="46"/>
        <v>23.692724939690478</v>
      </c>
      <c r="W39" s="324">
        <f t="shared" si="46"/>
        <v>23.450479585382219</v>
      </c>
      <c r="X39" s="324">
        <f t="shared" si="46"/>
        <v>23.003199150695295</v>
      </c>
      <c r="Y39" s="324">
        <f t="shared" si="46"/>
        <v>14.355400736456211</v>
      </c>
      <c r="Z39" s="324">
        <f t="shared" si="46"/>
        <v>16.777461770447164</v>
      </c>
      <c r="AA39" s="324">
        <f t="shared" si="46"/>
        <v>15.353382120169611</v>
      </c>
      <c r="AB39" s="324">
        <f t="shared" si="46"/>
        <v>24.417354927496618</v>
      </c>
      <c r="AC39" s="324">
        <f t="shared" si="46"/>
        <v>23.20875904477667</v>
      </c>
      <c r="AD39" s="324">
        <f t="shared" si="46"/>
        <v>26.622934076899522</v>
      </c>
      <c r="AE39" s="324">
        <f t="shared" si="46"/>
        <v>99.016469413205556</v>
      </c>
      <c r="AF39" s="324">
        <f t="shared" si="46"/>
        <v>101.37705563740079</v>
      </c>
      <c r="AG39" s="324">
        <f t="shared" si="46"/>
        <v>91.035969316822317</v>
      </c>
      <c r="AH39" s="324">
        <f t="shared" si="46"/>
        <v>94.269544733822897</v>
      </c>
      <c r="AI39" s="324">
        <f t="shared" si="46"/>
        <v>17.197752624858438</v>
      </c>
    </row>
  </sheetData>
  <conditionalFormatting sqref="B4:B6">
    <cfRule type="cellIs" dxfId="98" priority="95" stopIfTrue="1" operator="lessThan">
      <formula>0.9</formula>
    </cfRule>
    <cfRule type="cellIs" dxfId="97" priority="96" stopIfTrue="1" operator="between">
      <formula>90%</formula>
      <formula>94%</formula>
    </cfRule>
  </conditionalFormatting>
  <conditionalFormatting sqref="B4:B6">
    <cfRule type="cellIs" dxfId="96" priority="94" stopIfTrue="1" operator="greaterThan">
      <formula>1</formula>
    </cfRule>
  </conditionalFormatting>
  <conditionalFormatting sqref="B8:B19">
    <cfRule type="cellIs" dxfId="95" priority="92" stopIfTrue="1" operator="lessThan">
      <formula>0.9</formula>
    </cfRule>
    <cfRule type="cellIs" dxfId="94" priority="93" stopIfTrue="1" operator="between">
      <formula>90%</formula>
      <formula>94%</formula>
    </cfRule>
  </conditionalFormatting>
  <conditionalFormatting sqref="B8:B19">
    <cfRule type="cellIs" dxfId="93" priority="91" stopIfTrue="1" operator="greaterThan">
      <formula>1</formula>
    </cfRule>
  </conditionalFormatting>
  <conditionalFormatting sqref="C4:C6">
    <cfRule type="cellIs" dxfId="92" priority="89" stopIfTrue="1" operator="lessThan">
      <formula>0.9</formula>
    </cfRule>
    <cfRule type="cellIs" dxfId="91" priority="90" stopIfTrue="1" operator="between">
      <formula>90%</formula>
      <formula>94%</formula>
    </cfRule>
  </conditionalFormatting>
  <conditionalFormatting sqref="C4:C6">
    <cfRule type="cellIs" dxfId="90" priority="88" stopIfTrue="1" operator="greaterThan">
      <formula>1</formula>
    </cfRule>
  </conditionalFormatting>
  <conditionalFormatting sqref="E4:E6">
    <cfRule type="cellIs" dxfId="89" priority="86" stopIfTrue="1" operator="lessThan">
      <formula>0.9</formula>
    </cfRule>
    <cfRule type="cellIs" dxfId="88" priority="87" stopIfTrue="1" operator="between">
      <formula>90%</formula>
      <formula>94%</formula>
    </cfRule>
  </conditionalFormatting>
  <conditionalFormatting sqref="E4:E6">
    <cfRule type="cellIs" dxfId="87" priority="85" stopIfTrue="1" operator="greaterThan">
      <formula>1</formula>
    </cfRule>
  </conditionalFormatting>
  <conditionalFormatting sqref="D4:D6">
    <cfRule type="cellIs" dxfId="86" priority="83" stopIfTrue="1" operator="lessThan">
      <formula>0.9</formula>
    </cfRule>
    <cfRule type="cellIs" dxfId="85" priority="84" stopIfTrue="1" operator="between">
      <formula>90%</formula>
      <formula>94%</formula>
    </cfRule>
  </conditionalFormatting>
  <conditionalFormatting sqref="D4:D6">
    <cfRule type="cellIs" dxfId="84" priority="82" stopIfTrue="1" operator="greaterThan">
      <formula>1</formula>
    </cfRule>
  </conditionalFormatting>
  <conditionalFormatting sqref="F4:F6">
    <cfRule type="cellIs" dxfId="83" priority="80" stopIfTrue="1" operator="lessThan">
      <formula>0.9</formula>
    </cfRule>
    <cfRule type="cellIs" dxfId="82" priority="81" stopIfTrue="1" operator="between">
      <formula>90%</formula>
      <formula>94%</formula>
    </cfRule>
  </conditionalFormatting>
  <conditionalFormatting sqref="F4:F6">
    <cfRule type="cellIs" dxfId="81" priority="79" stopIfTrue="1" operator="greaterThan">
      <formula>1</formula>
    </cfRule>
  </conditionalFormatting>
  <conditionalFormatting sqref="G4:G6">
    <cfRule type="cellIs" dxfId="80" priority="77" stopIfTrue="1" operator="lessThan">
      <formula>0.9</formula>
    </cfRule>
    <cfRule type="cellIs" dxfId="79" priority="78" stopIfTrue="1" operator="between">
      <formula>90%</formula>
      <formula>94%</formula>
    </cfRule>
  </conditionalFormatting>
  <conditionalFormatting sqref="G4:G6">
    <cfRule type="cellIs" dxfId="78" priority="76" stopIfTrue="1" operator="greaterThan">
      <formula>1</formula>
    </cfRule>
  </conditionalFormatting>
  <conditionalFormatting sqref="H4:H6">
    <cfRule type="cellIs" dxfId="77" priority="74" stopIfTrue="1" operator="lessThan">
      <formula>0.9</formula>
    </cfRule>
    <cfRule type="cellIs" dxfId="76" priority="75" stopIfTrue="1" operator="between">
      <formula>90%</formula>
      <formula>94%</formula>
    </cfRule>
  </conditionalFormatting>
  <conditionalFormatting sqref="H4:H6">
    <cfRule type="cellIs" dxfId="75" priority="73" stopIfTrue="1" operator="greaterThan">
      <formula>1</formula>
    </cfRule>
  </conditionalFormatting>
  <conditionalFormatting sqref="I4:I6">
    <cfRule type="cellIs" dxfId="74" priority="71" stopIfTrue="1" operator="lessThan">
      <formula>0.9</formula>
    </cfRule>
    <cfRule type="cellIs" dxfId="73" priority="72" stopIfTrue="1" operator="between">
      <formula>90%</formula>
      <formula>94%</formula>
    </cfRule>
  </conditionalFormatting>
  <conditionalFormatting sqref="I4:I6">
    <cfRule type="cellIs" dxfId="72" priority="70" stopIfTrue="1" operator="greaterThan">
      <formula>1</formula>
    </cfRule>
  </conditionalFormatting>
  <conditionalFormatting sqref="J4:J6">
    <cfRule type="cellIs" dxfId="71" priority="68" stopIfTrue="1" operator="lessThan">
      <formula>0.9</formula>
    </cfRule>
    <cfRule type="cellIs" dxfId="70" priority="69" stopIfTrue="1" operator="between">
      <formula>90%</formula>
      <formula>94%</formula>
    </cfRule>
  </conditionalFormatting>
  <conditionalFormatting sqref="J4:J6">
    <cfRule type="cellIs" dxfId="69" priority="67" stopIfTrue="1" operator="greaterThan">
      <formula>1</formula>
    </cfRule>
  </conditionalFormatting>
  <conditionalFormatting sqref="K4:K6">
    <cfRule type="cellIs" dxfId="68" priority="65" stopIfTrue="1" operator="lessThan">
      <formula>0.9</formula>
    </cfRule>
    <cfRule type="cellIs" dxfId="67" priority="66" stopIfTrue="1" operator="between">
      <formula>90%</formula>
      <formula>94%</formula>
    </cfRule>
  </conditionalFormatting>
  <conditionalFormatting sqref="K4:K6">
    <cfRule type="cellIs" dxfId="66" priority="64" stopIfTrue="1" operator="greaterThan">
      <formula>1</formula>
    </cfRule>
  </conditionalFormatting>
  <conditionalFormatting sqref="L4:L6">
    <cfRule type="cellIs" dxfId="65" priority="62" stopIfTrue="1" operator="lessThan">
      <formula>0.9</formula>
    </cfRule>
    <cfRule type="cellIs" dxfId="64" priority="63" stopIfTrue="1" operator="between">
      <formula>90%</formula>
      <formula>94%</formula>
    </cfRule>
  </conditionalFormatting>
  <conditionalFormatting sqref="L4:L6">
    <cfRule type="cellIs" dxfId="63" priority="61" stopIfTrue="1" operator="greaterThan">
      <formula>1</formula>
    </cfRule>
  </conditionalFormatting>
  <conditionalFormatting sqref="M4:M6">
    <cfRule type="cellIs" dxfId="62" priority="59" stopIfTrue="1" operator="lessThan">
      <formula>0.9</formula>
    </cfRule>
    <cfRule type="cellIs" dxfId="61" priority="60" stopIfTrue="1" operator="between">
      <formula>90%</formula>
      <formula>94%</formula>
    </cfRule>
  </conditionalFormatting>
  <conditionalFormatting sqref="M4:M6">
    <cfRule type="cellIs" dxfId="60" priority="58" stopIfTrue="1" operator="greaterThan">
      <formula>1</formula>
    </cfRule>
  </conditionalFormatting>
  <conditionalFormatting sqref="N4:N6">
    <cfRule type="cellIs" dxfId="59" priority="56" stopIfTrue="1" operator="lessThan">
      <formula>0.9</formula>
    </cfRule>
    <cfRule type="cellIs" dxfId="58" priority="57" stopIfTrue="1" operator="between">
      <formula>90%</formula>
      <formula>94%</formula>
    </cfRule>
  </conditionalFormatting>
  <conditionalFormatting sqref="N4:N6">
    <cfRule type="cellIs" dxfId="57" priority="55" stopIfTrue="1" operator="greaterThan">
      <formula>1</formula>
    </cfRule>
  </conditionalFormatting>
  <conditionalFormatting sqref="C8:C19">
    <cfRule type="cellIs" dxfId="56" priority="53" stopIfTrue="1" operator="lessThan">
      <formula>0.9</formula>
    </cfRule>
    <cfRule type="cellIs" dxfId="55" priority="54" stopIfTrue="1" operator="between">
      <formula>90%</formula>
      <formula>94%</formula>
    </cfRule>
  </conditionalFormatting>
  <conditionalFormatting sqref="C8:C19">
    <cfRule type="cellIs" dxfId="54" priority="52" stopIfTrue="1" operator="greaterThan">
      <formula>1</formula>
    </cfRule>
  </conditionalFormatting>
  <conditionalFormatting sqref="E8:E19">
    <cfRule type="cellIs" dxfId="53" priority="50" stopIfTrue="1" operator="lessThan">
      <formula>0.9</formula>
    </cfRule>
    <cfRule type="cellIs" dxfId="52" priority="51" stopIfTrue="1" operator="between">
      <formula>90%</formula>
      <formula>94%</formula>
    </cfRule>
  </conditionalFormatting>
  <conditionalFormatting sqref="E8:E19">
    <cfRule type="cellIs" dxfId="51" priority="49" stopIfTrue="1" operator="greaterThan">
      <formula>1</formula>
    </cfRule>
  </conditionalFormatting>
  <conditionalFormatting sqref="D8:D19">
    <cfRule type="cellIs" dxfId="50" priority="47" stopIfTrue="1" operator="lessThan">
      <formula>0.9</formula>
    </cfRule>
    <cfRule type="cellIs" dxfId="49" priority="48" stopIfTrue="1" operator="between">
      <formula>90%</formula>
      <formula>94%</formula>
    </cfRule>
  </conditionalFormatting>
  <conditionalFormatting sqref="D8:D19">
    <cfRule type="cellIs" dxfId="48" priority="46" stopIfTrue="1" operator="greaterThan">
      <formula>1</formula>
    </cfRule>
  </conditionalFormatting>
  <conditionalFormatting sqref="F8:F19">
    <cfRule type="cellIs" dxfId="47" priority="44" stopIfTrue="1" operator="lessThan">
      <formula>0.9</formula>
    </cfRule>
    <cfRule type="cellIs" dxfId="46" priority="45" stopIfTrue="1" operator="between">
      <formula>90%</formula>
      <formula>94%</formula>
    </cfRule>
  </conditionalFormatting>
  <conditionalFormatting sqref="F8:F19">
    <cfRule type="cellIs" dxfId="45" priority="43" stopIfTrue="1" operator="greaterThan">
      <formula>1</formula>
    </cfRule>
  </conditionalFormatting>
  <conditionalFormatting sqref="G8:G19">
    <cfRule type="cellIs" dxfId="44" priority="41" stopIfTrue="1" operator="lessThan">
      <formula>0.9</formula>
    </cfRule>
    <cfRule type="cellIs" dxfId="43" priority="42" stopIfTrue="1" operator="between">
      <formula>90%</formula>
      <formula>94%</formula>
    </cfRule>
  </conditionalFormatting>
  <conditionalFormatting sqref="G8:G19">
    <cfRule type="cellIs" dxfId="42" priority="40" stopIfTrue="1" operator="greaterThan">
      <formula>1</formula>
    </cfRule>
  </conditionalFormatting>
  <conditionalFormatting sqref="H8:H19">
    <cfRule type="cellIs" dxfId="41" priority="38" stopIfTrue="1" operator="lessThan">
      <formula>0.9</formula>
    </cfRule>
    <cfRule type="cellIs" dxfId="40" priority="39" stopIfTrue="1" operator="between">
      <formula>90%</formula>
      <formula>94%</formula>
    </cfRule>
  </conditionalFormatting>
  <conditionalFormatting sqref="H8:H19">
    <cfRule type="cellIs" dxfId="39" priority="37" stopIfTrue="1" operator="greaterThan">
      <formula>1</formula>
    </cfRule>
  </conditionalFormatting>
  <conditionalFormatting sqref="I8:I19">
    <cfRule type="cellIs" dxfId="38" priority="35" stopIfTrue="1" operator="lessThan">
      <formula>0.9</formula>
    </cfRule>
    <cfRule type="cellIs" dxfId="37" priority="36" stopIfTrue="1" operator="between">
      <formula>90%</formula>
      <formula>94%</formula>
    </cfRule>
  </conditionalFormatting>
  <conditionalFormatting sqref="I8:I19">
    <cfRule type="cellIs" dxfId="36" priority="34" stopIfTrue="1" operator="greaterThan">
      <formula>1</formula>
    </cfRule>
  </conditionalFormatting>
  <conditionalFormatting sqref="J8:J19">
    <cfRule type="cellIs" dxfId="35" priority="32" stopIfTrue="1" operator="lessThan">
      <formula>0.9</formula>
    </cfRule>
    <cfRule type="cellIs" dxfId="34" priority="33" stopIfTrue="1" operator="between">
      <formula>90%</formula>
      <formula>94%</formula>
    </cfRule>
  </conditionalFormatting>
  <conditionalFormatting sqref="J8:J19">
    <cfRule type="cellIs" dxfId="33" priority="31" stopIfTrue="1" operator="greaterThan">
      <formula>1</formula>
    </cfRule>
  </conditionalFormatting>
  <conditionalFormatting sqref="K8:K19">
    <cfRule type="cellIs" dxfId="32" priority="29" stopIfTrue="1" operator="lessThan">
      <formula>0.9</formula>
    </cfRule>
    <cfRule type="cellIs" dxfId="31" priority="30" stopIfTrue="1" operator="between">
      <formula>90%</formula>
      <formula>94%</formula>
    </cfRule>
  </conditionalFormatting>
  <conditionalFormatting sqref="K8:K19">
    <cfRule type="cellIs" dxfId="30" priority="28" stopIfTrue="1" operator="greaterThan">
      <formula>1</formula>
    </cfRule>
  </conditionalFormatting>
  <conditionalFormatting sqref="L8:L19">
    <cfRule type="cellIs" dxfId="29" priority="26" stopIfTrue="1" operator="lessThan">
      <formula>0.9</formula>
    </cfRule>
    <cfRule type="cellIs" dxfId="28" priority="27" stopIfTrue="1" operator="between">
      <formula>90%</formula>
      <formula>94%</formula>
    </cfRule>
  </conditionalFormatting>
  <conditionalFormatting sqref="L8:L19">
    <cfRule type="cellIs" dxfId="27" priority="25" stopIfTrue="1" operator="greaterThan">
      <formula>1</formula>
    </cfRule>
  </conditionalFormatting>
  <conditionalFormatting sqref="M8:M19">
    <cfRule type="cellIs" dxfId="26" priority="23" stopIfTrue="1" operator="lessThan">
      <formula>0.9</formula>
    </cfRule>
    <cfRule type="cellIs" dxfId="25" priority="24" stopIfTrue="1" operator="between">
      <formula>90%</formula>
      <formula>94%</formula>
    </cfRule>
  </conditionalFormatting>
  <conditionalFormatting sqref="M8:M19">
    <cfRule type="cellIs" dxfId="24" priority="22" stopIfTrue="1" operator="greaterThan">
      <formula>1</formula>
    </cfRule>
  </conditionalFormatting>
  <conditionalFormatting sqref="N8:N19">
    <cfRule type="cellIs" dxfId="23" priority="20" stopIfTrue="1" operator="lessThan">
      <formula>0.9</formula>
    </cfRule>
    <cfRule type="cellIs" dxfId="22" priority="21" stopIfTrue="1" operator="between">
      <formula>90%</formula>
      <formula>94%</formula>
    </cfRule>
  </conditionalFormatting>
  <conditionalFormatting sqref="N8:N19">
    <cfRule type="cellIs" dxfId="21" priority="19" stopIfTrue="1" operator="greaterThan">
      <formula>1</formula>
    </cfRule>
  </conditionalFormatting>
  <conditionalFormatting sqref="O4:P6">
    <cfRule type="cellIs" dxfId="20" priority="11" stopIfTrue="1" operator="lessThan">
      <formula>0.9</formula>
    </cfRule>
    <cfRule type="cellIs" dxfId="19" priority="12" stopIfTrue="1" operator="between">
      <formula>90%</formula>
      <formula>94%</formula>
    </cfRule>
  </conditionalFormatting>
  <conditionalFormatting sqref="O4:P6">
    <cfRule type="cellIs" dxfId="18" priority="10" stopIfTrue="1" operator="greaterThan">
      <formula>1</formula>
    </cfRule>
  </conditionalFormatting>
  <conditionalFormatting sqref="N8:N19">
    <cfRule type="cellIs" dxfId="17" priority="8" stopIfTrue="1" operator="lessThan">
      <formula>0.9</formula>
    </cfRule>
    <cfRule type="cellIs" dxfId="16" priority="9" stopIfTrue="1" operator="between">
      <formula>90%</formula>
      <formula>94%</formula>
    </cfRule>
  </conditionalFormatting>
  <conditionalFormatting sqref="N8:N19">
    <cfRule type="cellIs" dxfId="15" priority="7" stopIfTrue="1" operator="greaterThan">
      <formula>1</formula>
    </cfRule>
  </conditionalFormatting>
  <conditionalFormatting sqref="O8:O19">
    <cfRule type="cellIs" dxfId="14" priority="17" stopIfTrue="1" operator="lessThan">
      <formula>0.9</formula>
    </cfRule>
    <cfRule type="cellIs" dxfId="13" priority="18" stopIfTrue="1" operator="between">
      <formula>90%</formula>
      <formula>94%</formula>
    </cfRule>
  </conditionalFormatting>
  <conditionalFormatting sqref="O8:O19">
    <cfRule type="cellIs" dxfId="12" priority="16" stopIfTrue="1" operator="greaterThan">
      <formula>1</formula>
    </cfRule>
  </conditionalFormatting>
  <conditionalFormatting sqref="P8:P19">
    <cfRule type="cellIs" dxfId="11" priority="14" stopIfTrue="1" operator="lessThan">
      <formula>0.9</formula>
    </cfRule>
    <cfRule type="cellIs" dxfId="10" priority="15" stopIfTrue="1" operator="between">
      <formula>90%</formula>
      <formula>94%</formula>
    </cfRule>
  </conditionalFormatting>
  <conditionalFormatting sqref="P8:P19">
    <cfRule type="cellIs" dxfId="9" priority="13" stopIfTrue="1" operator="greaterThan">
      <formula>1</formula>
    </cfRule>
  </conditionalFormatting>
  <conditionalFormatting sqref="O8:O19">
    <cfRule type="cellIs" dxfId="8" priority="5" stopIfTrue="1" operator="lessThan">
      <formula>0.9</formula>
    </cfRule>
    <cfRule type="cellIs" dxfId="7" priority="6" stopIfTrue="1" operator="between">
      <formula>90%</formula>
      <formula>94%</formula>
    </cfRule>
  </conditionalFormatting>
  <conditionalFormatting sqref="O8:O19">
    <cfRule type="cellIs" dxfId="6" priority="4" stopIfTrue="1" operator="greaterThan">
      <formula>1</formula>
    </cfRule>
  </conditionalFormatting>
  <conditionalFormatting sqref="P8:P19">
    <cfRule type="cellIs" dxfId="5" priority="2" stopIfTrue="1" operator="lessThan">
      <formula>0.9</formula>
    </cfRule>
    <cfRule type="cellIs" dxfId="4" priority="3" stopIfTrue="1" operator="between">
      <formula>90%</formula>
      <formula>94%</formula>
    </cfRule>
  </conditionalFormatting>
  <conditionalFormatting sqref="P8:P19">
    <cfRule type="cellIs" dxfId="3" priority="1" stopIfTrue="1" operator="greaterThan">
      <formula>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workbookViewId="0">
      <selection activeCell="M5" sqref="M5"/>
    </sheetView>
  </sheetViews>
  <sheetFormatPr baseColWidth="10" defaultRowHeight="15" x14ac:dyDescent="0.25"/>
  <cols>
    <col min="1" max="1" width="6.28515625" style="193" customWidth="1"/>
    <col min="2" max="16" width="8.85546875" style="2" customWidth="1"/>
    <col min="17" max="17" width="8.85546875" style="183" customWidth="1"/>
    <col min="18" max="18" width="10.28515625" style="255" customWidth="1"/>
    <col min="19" max="33" width="8.85546875" style="184" customWidth="1"/>
    <col min="34" max="34" width="8.85546875" style="214" customWidth="1"/>
    <col min="35" max="16384" width="11.42578125" style="189"/>
  </cols>
  <sheetData>
    <row r="1" spans="1:34" ht="18.75" x14ac:dyDescent="0.25">
      <c r="A1" s="182" t="s">
        <v>61</v>
      </c>
      <c r="R1" s="182" t="s">
        <v>62</v>
      </c>
      <c r="AC1" s="185"/>
      <c r="AD1" s="186"/>
      <c r="AE1" s="187"/>
      <c r="AF1" s="186"/>
      <c r="AG1" s="187"/>
      <c r="AH1" s="188"/>
    </row>
    <row r="2" spans="1:34" ht="33.75" x14ac:dyDescent="0.25">
      <c r="A2" s="190"/>
      <c r="R2" s="191" t="s">
        <v>24</v>
      </c>
      <c r="S2" s="12" t="s">
        <v>5</v>
      </c>
      <c r="T2" s="12" t="s">
        <v>6</v>
      </c>
      <c r="U2" s="12" t="s">
        <v>7</v>
      </c>
      <c r="V2" s="12" t="s">
        <v>8</v>
      </c>
      <c r="W2" s="12" t="s">
        <v>9</v>
      </c>
      <c r="X2" s="12" t="s">
        <v>10</v>
      </c>
      <c r="Y2" s="12" t="s">
        <v>11</v>
      </c>
      <c r="Z2" s="12" t="s">
        <v>12</v>
      </c>
      <c r="AA2" s="12" t="s">
        <v>13</v>
      </c>
      <c r="AB2" s="12" t="s">
        <v>14</v>
      </c>
      <c r="AC2" s="12" t="s">
        <v>15</v>
      </c>
      <c r="AD2" s="12" t="s">
        <v>16</v>
      </c>
      <c r="AE2" s="12" t="s">
        <v>17</v>
      </c>
      <c r="AF2" s="12" t="s">
        <v>18</v>
      </c>
      <c r="AG2" s="12" t="s">
        <v>19</v>
      </c>
      <c r="AH2" s="192"/>
    </row>
    <row r="3" spans="1:34" ht="15.75" thickBot="1" x14ac:dyDescent="0.3">
      <c r="M3" s="194" t="s">
        <v>63</v>
      </c>
      <c r="N3" s="195" t="s">
        <v>64</v>
      </c>
      <c r="Q3" s="196"/>
      <c r="R3" s="197" t="s">
        <v>65</v>
      </c>
      <c r="S3" s="198">
        <v>0.2319</v>
      </c>
      <c r="T3" s="198">
        <v>0.2319</v>
      </c>
      <c r="U3" s="198">
        <v>0.2319</v>
      </c>
      <c r="V3" s="198">
        <v>0.2319</v>
      </c>
      <c r="W3" s="198">
        <v>0.2319</v>
      </c>
      <c r="X3" s="198">
        <v>0.2319</v>
      </c>
      <c r="Y3" s="198">
        <v>0.2319</v>
      </c>
      <c r="Z3" s="198">
        <v>0.2</v>
      </c>
      <c r="AA3" s="198">
        <v>0.2</v>
      </c>
      <c r="AB3" s="198">
        <v>0.2</v>
      </c>
      <c r="AC3" s="198">
        <v>0.1207</v>
      </c>
      <c r="AD3" s="198">
        <v>0.1207</v>
      </c>
      <c r="AE3" s="199">
        <v>0.1207</v>
      </c>
      <c r="AF3" s="198">
        <v>0.1089</v>
      </c>
      <c r="AG3" s="199">
        <v>0.15210000000000001</v>
      </c>
      <c r="AH3" s="200"/>
    </row>
    <row r="4" spans="1:34" s="201" customFormat="1" ht="19.5" thickBot="1" x14ac:dyDescent="0.35">
      <c r="L4" s="202" t="s">
        <v>66</v>
      </c>
      <c r="M4" s="203">
        <v>2</v>
      </c>
      <c r="N4" s="204">
        <v>7</v>
      </c>
      <c r="O4" s="205" t="s">
        <v>67</v>
      </c>
      <c r="P4" s="2"/>
      <c r="Q4" s="206"/>
      <c r="R4" s="207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9"/>
    </row>
    <row r="5" spans="1:34" s="215" customFormat="1" ht="15.75" x14ac:dyDescent="0.25">
      <c r="A5" s="210" t="s">
        <v>68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11"/>
      <c r="R5" s="212" t="s">
        <v>68</v>
      </c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4"/>
    </row>
    <row r="6" spans="1:34" s="215" customFormat="1" ht="33.75" x14ac:dyDescent="0.2">
      <c r="A6" s="88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17</v>
      </c>
      <c r="O6" s="12" t="s">
        <v>18</v>
      </c>
      <c r="P6" s="12" t="s">
        <v>19</v>
      </c>
      <c r="Q6" s="216" t="s">
        <v>56</v>
      </c>
      <c r="R6" s="217" t="s">
        <v>4</v>
      </c>
      <c r="S6" s="12" t="s">
        <v>5</v>
      </c>
      <c r="T6" s="12" t="s">
        <v>6</v>
      </c>
      <c r="U6" s="12" t="s">
        <v>7</v>
      </c>
      <c r="V6" s="12" t="s">
        <v>8</v>
      </c>
      <c r="W6" s="12" t="s">
        <v>9</v>
      </c>
      <c r="X6" s="12" t="s">
        <v>10</v>
      </c>
      <c r="Y6" s="12" t="s">
        <v>11</v>
      </c>
      <c r="Z6" s="12" t="s">
        <v>12</v>
      </c>
      <c r="AA6" s="12" t="s">
        <v>13</v>
      </c>
      <c r="AB6" s="12" t="s">
        <v>14</v>
      </c>
      <c r="AC6" s="12" t="s">
        <v>15</v>
      </c>
      <c r="AD6" s="12" t="s">
        <v>16</v>
      </c>
      <c r="AE6" s="12" t="s">
        <v>17</v>
      </c>
      <c r="AF6" s="12" t="s">
        <v>18</v>
      </c>
      <c r="AG6" s="12" t="s">
        <v>19</v>
      </c>
      <c r="AH6" s="218" t="s">
        <v>69</v>
      </c>
    </row>
    <row r="7" spans="1:34" x14ac:dyDescent="0.25">
      <c r="A7" s="219">
        <v>2021</v>
      </c>
      <c r="B7" s="130">
        <f>[1]Recap!$H14</f>
        <v>462.97974451982009</v>
      </c>
      <c r="C7" s="130">
        <f>[2]Recap!$H14</f>
        <v>601.44417563785896</v>
      </c>
      <c r="D7" s="130">
        <f>[3]Recap!$H14</f>
        <v>317.16402703247957</v>
      </c>
      <c r="E7" s="130">
        <f>[4]Recap!$H14</f>
        <v>407.63927244838794</v>
      </c>
      <c r="F7" s="130">
        <f>[5]Recap!$H14</f>
        <v>660.7180930718655</v>
      </c>
      <c r="G7" s="130">
        <f>[6]Recap!$H14</f>
        <v>715.47833690747836</v>
      </c>
      <c r="H7" s="130">
        <f>[7]Recap!$H14</f>
        <v>658.58802689882259</v>
      </c>
      <c r="I7" s="130"/>
      <c r="J7" s="130"/>
      <c r="K7" s="130"/>
      <c r="L7" s="130"/>
      <c r="M7" s="130"/>
      <c r="N7" s="130"/>
      <c r="O7" s="130"/>
      <c r="P7" s="131"/>
      <c r="Q7" s="220">
        <f>SUM(B7:P7)</f>
        <v>3824.0116765167131</v>
      </c>
      <c r="R7" s="221">
        <v>2021</v>
      </c>
      <c r="S7" s="222">
        <f>+'Gain action'!B7*S$3</f>
        <v>107.36500275414627</v>
      </c>
      <c r="T7" s="222">
        <f>+'Gain action'!C7*T$3</f>
        <v>139.47490433041949</v>
      </c>
      <c r="U7" s="222">
        <f>+'Gain action'!D7*U$3</f>
        <v>73.550337868832017</v>
      </c>
      <c r="V7" s="222">
        <f>+'Gain action'!E7*V$3</f>
        <v>94.531547280781169</v>
      </c>
      <c r="W7" s="222">
        <f>+'Gain action'!F7*W$3</f>
        <v>153.22052578336562</v>
      </c>
      <c r="X7" s="222">
        <f>+'Gain action'!G7*X$3</f>
        <v>165.91942632884422</v>
      </c>
      <c r="Y7" s="222">
        <f>+'Gain action'!H7*Y$3</f>
        <v>152.72656343783694</v>
      </c>
      <c r="Z7" s="222"/>
      <c r="AA7" s="222"/>
      <c r="AB7" s="222"/>
      <c r="AC7" s="222"/>
      <c r="AD7" s="222"/>
      <c r="AE7" s="222"/>
      <c r="AF7" s="222"/>
      <c r="AG7" s="223"/>
      <c r="AH7" s="224">
        <f>SUM(S7:AG7)</f>
        <v>886.78830778422571</v>
      </c>
    </row>
    <row r="8" spans="1:34" s="225" customFormat="1" ht="12.75" x14ac:dyDescent="0.2">
      <c r="A8" s="219">
        <v>2022</v>
      </c>
      <c r="B8" s="130">
        <f>[1]Recap!$H15</f>
        <v>403.54404421488664</v>
      </c>
      <c r="C8" s="130">
        <f>[2]Recap!$H15</f>
        <v>609.68440992088688</v>
      </c>
      <c r="D8" s="130">
        <f>[3]Recap!$H15</f>
        <v>310.77354477397688</v>
      </c>
      <c r="E8" s="130">
        <f>[4]Recap!$H15</f>
        <v>411.53238463052907</v>
      </c>
      <c r="F8" s="130">
        <f>[5]Recap!$H15</f>
        <v>612.42266055988853</v>
      </c>
      <c r="G8" s="130">
        <f>[6]Recap!$H15</f>
        <v>691.52360911592677</v>
      </c>
      <c r="H8" s="130">
        <f>[7]Recap!$H15</f>
        <v>452.26827703952813</v>
      </c>
      <c r="I8" s="130">
        <f>[8]Recap!$H14</f>
        <v>626.17509933172119</v>
      </c>
      <c r="J8" s="130">
        <f>[9]Recap!$H14</f>
        <v>620.93310326220058</v>
      </c>
      <c r="K8" s="130">
        <f>[10]Recap!$H14</f>
        <v>894.20117184713649</v>
      </c>
      <c r="L8" s="130">
        <f>[11]Recap!$H13</f>
        <v>1261.2482118324028</v>
      </c>
      <c r="M8" s="130">
        <f>[12]Recap!$H13</f>
        <v>1464.0358544705409</v>
      </c>
      <c r="N8" s="130"/>
      <c r="O8" s="130"/>
      <c r="P8" s="134"/>
      <c r="Q8" s="220">
        <f t="shared" ref="Q8:Q13" si="0">SUM(B8:P8)</f>
        <v>8358.3423709996259</v>
      </c>
      <c r="R8" s="221">
        <v>2022</v>
      </c>
      <c r="S8" s="222">
        <f>+'Gain action'!B8*S$3</f>
        <v>93.58186385343221</v>
      </c>
      <c r="T8" s="222">
        <f>+'Gain action'!C8*T$3</f>
        <v>141.38581466065366</v>
      </c>
      <c r="U8" s="222">
        <f>+'Gain action'!D8*U$3</f>
        <v>72.068385033085235</v>
      </c>
      <c r="V8" s="222">
        <f>+'Gain action'!E8*V$3</f>
        <v>95.43435999581969</v>
      </c>
      <c r="W8" s="222">
        <f>+'Gain action'!F8*W$3</f>
        <v>142.02081498383814</v>
      </c>
      <c r="X8" s="222">
        <f>+'Gain action'!G8*X$3</f>
        <v>160.36432495398341</v>
      </c>
      <c r="Y8" s="222">
        <f>+'Gain action'!H8*Y$3</f>
        <v>104.88101344546656</v>
      </c>
      <c r="Z8" s="222">
        <f>+'Gain action'!I8*Z$3</f>
        <v>125.23501986634425</v>
      </c>
      <c r="AA8" s="222">
        <f>+'Gain action'!J8*AA$3</f>
        <v>124.18662065244013</v>
      </c>
      <c r="AB8" s="222">
        <f>+'Gain action'!K8*AB$3</f>
        <v>178.84023436942732</v>
      </c>
      <c r="AC8" s="222">
        <f>+'Gain action'!L8*AC$3</f>
        <v>152.23265916817101</v>
      </c>
      <c r="AD8" s="222">
        <f>+'Gain action'!M8*AD$3</f>
        <v>176.7091276345943</v>
      </c>
      <c r="AE8" s="222"/>
      <c r="AF8" s="222"/>
      <c r="AG8" s="223"/>
      <c r="AH8" s="224">
        <f t="shared" ref="AH8:AH13" si="1">SUM(S8:AG8)</f>
        <v>1566.940238617256</v>
      </c>
    </row>
    <row r="9" spans="1:34" s="236" customFormat="1" ht="12.75" x14ac:dyDescent="0.2">
      <c r="A9" s="226">
        <v>2023</v>
      </c>
      <c r="B9" s="227">
        <f>[1]Recap!$H16</f>
        <v>507.11111997141495</v>
      </c>
      <c r="C9" s="228">
        <f>[2]Recap!$H16</f>
        <v>433.16610324509861</v>
      </c>
      <c r="D9" s="228">
        <f>[3]Recap!$H16</f>
        <v>209.9046771866158</v>
      </c>
      <c r="E9" s="228">
        <f>[4]Recap!$H16</f>
        <v>292.51348984593392</v>
      </c>
      <c r="F9" s="228">
        <f>[5]Recap!$H16</f>
        <v>394.36123432197246</v>
      </c>
      <c r="G9" s="228">
        <f>[6]Recap!$H16</f>
        <v>867.02250302333698</v>
      </c>
      <c r="H9" s="228">
        <f>[7]Recap!$H16</f>
        <v>1005.0368561613833</v>
      </c>
      <c r="I9" s="228">
        <f>[8]Recap!$H15</f>
        <v>628.90211055994621</v>
      </c>
      <c r="J9" s="228">
        <f>[9]Recap!$H15</f>
        <v>620.62595436341815</v>
      </c>
      <c r="K9" s="228">
        <f>[10]Recap!$H15</f>
        <v>896.74846364805205</v>
      </c>
      <c r="L9" s="228">
        <f>[11]Recap!$H14</f>
        <v>1254.1422393226389</v>
      </c>
      <c r="M9" s="228">
        <f>[12]Recap!$H14</f>
        <v>1357.2005622672352</v>
      </c>
      <c r="N9" s="228">
        <f>[13]Recap!$H14</f>
        <v>0</v>
      </c>
      <c r="O9" s="228"/>
      <c r="P9" s="229"/>
      <c r="Q9" s="230">
        <f t="shared" si="0"/>
        <v>8466.7353139170464</v>
      </c>
      <c r="R9" s="231">
        <v>2023</v>
      </c>
      <c r="S9" s="232">
        <f>+'Gain action'!B9*S$3</f>
        <v>117.59906872137113</v>
      </c>
      <c r="T9" s="233">
        <f>+'Gain action'!C9*T$3</f>
        <v>100.45121934253837</v>
      </c>
      <c r="U9" s="233">
        <f>+'Gain action'!D9*U$3</f>
        <v>48.676894639576204</v>
      </c>
      <c r="V9" s="233">
        <f>+'Gain action'!E9*V$3</f>
        <v>67.833878295272072</v>
      </c>
      <c r="W9" s="233">
        <f>+'Gain action'!F9*W$3</f>
        <v>91.452370239265406</v>
      </c>
      <c r="X9" s="233">
        <f>+'Gain action'!G9*X$3</f>
        <v>201.06251845111183</v>
      </c>
      <c r="Y9" s="233">
        <f>+'Gain action'!H9*Y$3</f>
        <v>233.06804694382478</v>
      </c>
      <c r="Z9" s="233">
        <f>+'Gain action'!I9*Z$3</f>
        <v>125.78042211198925</v>
      </c>
      <c r="AA9" s="233">
        <f>+'Gain action'!J9*AA$3</f>
        <v>124.12519087268363</v>
      </c>
      <c r="AB9" s="233">
        <f>+'Gain action'!K9*AB$3</f>
        <v>179.34969272961041</v>
      </c>
      <c r="AC9" s="233">
        <f>+'Gain action'!L9*AC$3</f>
        <v>151.37496828624253</v>
      </c>
      <c r="AD9" s="233">
        <f>+'Gain action'!M9*AD$3</f>
        <v>163.8141078656553</v>
      </c>
      <c r="AE9" s="233">
        <f>+'Gain action'!N9*AE$3</f>
        <v>0</v>
      </c>
      <c r="AF9" s="233"/>
      <c r="AG9" s="234"/>
      <c r="AH9" s="235">
        <f t="shared" si="1"/>
        <v>1604.5883784991411</v>
      </c>
    </row>
    <row r="10" spans="1:34" s="236" customFormat="1" ht="12.75" x14ac:dyDescent="0.2">
      <c r="A10" s="237">
        <v>2024</v>
      </c>
      <c r="B10" s="238">
        <f>[1]Recap!$H17</f>
        <v>370.77247706445007</v>
      </c>
      <c r="C10" s="238">
        <f>[2]Recap!$H17</f>
        <v>985.9256445745408</v>
      </c>
      <c r="D10" s="238">
        <f>[3]Recap!$H17</f>
        <v>556.88896572175872</v>
      </c>
      <c r="E10" s="238">
        <f>[4]Recap!$H17</f>
        <v>591.34644106767382</v>
      </c>
      <c r="F10" s="238">
        <f>[5]Recap!$H17</f>
        <v>994.1565262450423</v>
      </c>
      <c r="G10" s="238">
        <f>[6]Recap!$H17</f>
        <v>680.2174657834687</v>
      </c>
      <c r="H10" s="238">
        <f>[7]Recap!$H17</f>
        <v>876.32221398759475</v>
      </c>
      <c r="I10" s="238">
        <f>[8]Recap!$H16</f>
        <v>411.84491815858883</v>
      </c>
      <c r="J10" s="238">
        <f>[9]Recap!$H16</f>
        <v>486.8038679459429</v>
      </c>
      <c r="K10" s="238">
        <f>[10]Recap!$H16</f>
        <v>640.97848400896578</v>
      </c>
      <c r="L10" s="238">
        <f>[11]Recap!$H15</f>
        <v>2114.6095260369684</v>
      </c>
      <c r="M10" s="238">
        <f>[12]Recap!$H15</f>
        <v>1359.4273117097036</v>
      </c>
      <c r="N10" s="238">
        <f>[13]Recap!$H15</f>
        <v>1583.7227878323802</v>
      </c>
      <c r="O10" s="238">
        <f>[14]Recap!$H13</f>
        <v>1374.1774298321866</v>
      </c>
      <c r="P10" s="239">
        <f>[15]Recap!$H13</f>
        <v>316.57328592679636</v>
      </c>
      <c r="Q10" s="240">
        <f t="shared" si="0"/>
        <v>13343.76734589606</v>
      </c>
      <c r="R10" s="241">
        <v>2024</v>
      </c>
      <c r="S10" s="242">
        <f>+'Gain action'!B10*S$3</f>
        <v>85.982137431245974</v>
      </c>
      <c r="T10" s="242">
        <f>+'Gain action'!C10*T$3</f>
        <v>228.63615697683602</v>
      </c>
      <c r="U10" s="242">
        <f>+'Gain action'!D10*U$3</f>
        <v>129.14255115087585</v>
      </c>
      <c r="V10" s="242">
        <f>+'Gain action'!E10*V$3</f>
        <v>137.13323968359356</v>
      </c>
      <c r="W10" s="242">
        <f>+'Gain action'!F10*W$3</f>
        <v>230.54489843622531</v>
      </c>
      <c r="X10" s="242">
        <f>+'Gain action'!G10*X$3</f>
        <v>157.7424303151864</v>
      </c>
      <c r="Y10" s="242">
        <f>+'Gain action'!H10*Y$3</f>
        <v>203.21912142372321</v>
      </c>
      <c r="Z10" s="242">
        <f>+'Gain action'!I10*Z$3</f>
        <v>82.368983631717768</v>
      </c>
      <c r="AA10" s="242">
        <f>+'Gain action'!J10*AA$3</f>
        <v>97.360773589188582</v>
      </c>
      <c r="AB10" s="242">
        <f>+'Gain action'!K10*AB$3</f>
        <v>128.19569680179316</v>
      </c>
      <c r="AC10" s="242">
        <f>+'Gain action'!L10*AC$3</f>
        <v>255.2333697926621</v>
      </c>
      <c r="AD10" s="242">
        <f>+'Gain action'!M10*AD$3</f>
        <v>164.08287652336122</v>
      </c>
      <c r="AE10" s="242">
        <f>+'Gain action'!N10*AE$3</f>
        <v>191.15534049136829</v>
      </c>
      <c r="AF10" s="242">
        <f>+'Gain action'!O10*AF$3</f>
        <v>149.64792210872511</v>
      </c>
      <c r="AG10" s="243">
        <f>+'Gain action'!P10*AG$3</f>
        <v>48.15079678946573</v>
      </c>
      <c r="AH10" s="244">
        <f t="shared" si="1"/>
        <v>2288.5962951459687</v>
      </c>
    </row>
    <row r="11" spans="1:34" s="236" customFormat="1" ht="12.75" x14ac:dyDescent="0.2">
      <c r="A11" s="237">
        <v>2025</v>
      </c>
      <c r="B11" s="238">
        <f>[1]Recap!$H18</f>
        <v>489.23377474770024</v>
      </c>
      <c r="C11" s="238">
        <f>[2]Recap!$H18</f>
        <v>896.59230599640375</v>
      </c>
      <c r="D11" s="238">
        <f>[3]Recap!$H18</f>
        <v>494.49003201937273</v>
      </c>
      <c r="E11" s="238">
        <f>[4]Recap!$H18</f>
        <v>529.83868230005851</v>
      </c>
      <c r="F11" s="238">
        <f>[5]Recap!$H18</f>
        <v>844.3629861892199</v>
      </c>
      <c r="G11" s="238">
        <f>[6]Recap!$H18</f>
        <v>817.61801872755075</v>
      </c>
      <c r="H11" s="238">
        <f>[7]Recap!$H18</f>
        <v>618.37495722786957</v>
      </c>
      <c r="I11" s="238">
        <f>[8]Recap!$H17</f>
        <v>281.46687145833613</v>
      </c>
      <c r="J11" s="238">
        <f>[9]Recap!$H17</f>
        <v>358.11069391900639</v>
      </c>
      <c r="K11" s="238">
        <f>[10]Recap!$H17</f>
        <v>455.70600963472543</v>
      </c>
      <c r="L11" s="238">
        <f>[11]Recap!$H16</f>
        <v>1839.0053949764663</v>
      </c>
      <c r="M11" s="238">
        <f>[12]Recap!$H16</f>
        <v>1020.1378176784474</v>
      </c>
      <c r="N11" s="238">
        <f>[13]Recap!$H16</f>
        <v>1493.4152044453074</v>
      </c>
      <c r="O11" s="238">
        <f>[14]Recap!$H14</f>
        <v>1144.1158692661911</v>
      </c>
      <c r="P11" s="239">
        <f>[15]Recap!$H14</f>
        <v>255.05873250174659</v>
      </c>
      <c r="Q11" s="240">
        <f t="shared" si="0"/>
        <v>11537.527351088402</v>
      </c>
      <c r="R11" s="241">
        <v>2025</v>
      </c>
      <c r="S11" s="242">
        <f>+'Gain action'!B11*S$3</f>
        <v>113.45331236399169</v>
      </c>
      <c r="T11" s="242">
        <f>+'Gain action'!C11*T$3</f>
        <v>207.91975576056603</v>
      </c>
      <c r="U11" s="242">
        <f>+'Gain action'!D11*U$3</f>
        <v>114.67223842529253</v>
      </c>
      <c r="V11" s="242">
        <f>+'Gain action'!E11*V$3</f>
        <v>122.86959042538356</v>
      </c>
      <c r="W11" s="242">
        <f>+'Gain action'!F11*W$3</f>
        <v>195.80777649728009</v>
      </c>
      <c r="X11" s="242">
        <f>+'Gain action'!G11*X$3</f>
        <v>189.60561854291902</v>
      </c>
      <c r="Y11" s="242">
        <f>+'Gain action'!H11*Y$3</f>
        <v>143.40115258114295</v>
      </c>
      <c r="Z11" s="242">
        <f>+'Gain action'!I11*Z$3</f>
        <v>56.293374291667227</v>
      </c>
      <c r="AA11" s="242">
        <f>+'Gain action'!J11*AA$3</f>
        <v>71.622138783801276</v>
      </c>
      <c r="AB11" s="242">
        <f>+'Gain action'!K11*AB$3</f>
        <v>91.141201926945087</v>
      </c>
      <c r="AC11" s="242">
        <f>+'Gain action'!L11*AC$3</f>
        <v>221.96795117365949</v>
      </c>
      <c r="AD11" s="242">
        <f>+'Gain action'!M11*AD$3</f>
        <v>123.1306345937886</v>
      </c>
      <c r="AE11" s="242">
        <f>+'Gain action'!N11*AE$3</f>
        <v>180.2552151765486</v>
      </c>
      <c r="AF11" s="242">
        <f>+'Gain action'!O11*AF$3</f>
        <v>124.59421816308821</v>
      </c>
      <c r="AG11" s="243">
        <f>+'Gain action'!P11*AG$3</f>
        <v>38.79443321351566</v>
      </c>
      <c r="AH11" s="244">
        <f t="shared" si="1"/>
        <v>1995.52861191959</v>
      </c>
    </row>
    <row r="12" spans="1:34" s="236" customFormat="1" ht="12.75" x14ac:dyDescent="0.2">
      <c r="A12" s="237">
        <v>2026</v>
      </c>
      <c r="B12" s="238">
        <f>[1]Recap!$H19</f>
        <v>356.89160686085813</v>
      </c>
      <c r="C12" s="238">
        <f>[2]Recap!$H19</f>
        <v>753.28305041858107</v>
      </c>
      <c r="D12" s="238">
        <f>[3]Recap!$H19</f>
        <v>483.34828437630705</v>
      </c>
      <c r="E12" s="238">
        <f>[4]Recap!$H19</f>
        <v>505.31533849794596</v>
      </c>
      <c r="F12" s="238">
        <f>[5]Recap!$H19</f>
        <v>810.5464149738649</v>
      </c>
      <c r="G12" s="238">
        <f>[6]Recap!$H19</f>
        <v>635.73541333866069</v>
      </c>
      <c r="H12" s="238">
        <f>[7]Recap!$H19</f>
        <v>910.13454961487855</v>
      </c>
      <c r="I12" s="238">
        <f>[8]Recap!$H18</f>
        <v>335.23775893536185</v>
      </c>
      <c r="J12" s="238">
        <f>[9]Recap!$H18</f>
        <v>428.84920350574788</v>
      </c>
      <c r="K12" s="238">
        <f>[10]Recap!$H18</f>
        <v>576.97168351527421</v>
      </c>
      <c r="L12" s="238">
        <f>[11]Recap!$H17</f>
        <v>2081.3551596543139</v>
      </c>
      <c r="M12" s="238">
        <f>[12]Recap!$H17</f>
        <v>1285.7242862910146</v>
      </c>
      <c r="N12" s="238">
        <f>[13]Recap!$H17</f>
        <v>1119.8382036243304</v>
      </c>
      <c r="O12" s="238">
        <f>[14]Recap!$H15</f>
        <v>1530.4806442253762</v>
      </c>
      <c r="P12" s="239">
        <f>[15]Recap!$H15</f>
        <v>373.45438500078654</v>
      </c>
      <c r="Q12" s="240">
        <f t="shared" si="0"/>
        <v>12187.165982833301</v>
      </c>
      <c r="R12" s="241">
        <v>2026</v>
      </c>
      <c r="S12" s="242">
        <f>+'Gain action'!B12*S$3</f>
        <v>82.763163631032995</v>
      </c>
      <c r="T12" s="242">
        <f>+'Gain action'!C12*T$3</f>
        <v>174.68633939206896</v>
      </c>
      <c r="U12" s="242">
        <f>+'Gain action'!D12*U$3</f>
        <v>112.0884671468656</v>
      </c>
      <c r="V12" s="242">
        <f>+'Gain action'!E12*V$3</f>
        <v>117.18262699767367</v>
      </c>
      <c r="W12" s="242">
        <f>+'Gain action'!F12*W$3</f>
        <v>187.96571363243928</v>
      </c>
      <c r="X12" s="242">
        <f>+'Gain action'!G12*X$3</f>
        <v>147.42704235323541</v>
      </c>
      <c r="Y12" s="242">
        <f>+'Gain action'!H12*Y$3</f>
        <v>211.06020205569033</v>
      </c>
      <c r="Z12" s="242">
        <f>+'Gain action'!I12*Z$3</f>
        <v>67.047551787072379</v>
      </c>
      <c r="AA12" s="242">
        <f>+'Gain action'!J12*AA$3</f>
        <v>85.769840701149576</v>
      </c>
      <c r="AB12" s="242">
        <f>+'Gain action'!K12*AB$3</f>
        <v>115.39433670305485</v>
      </c>
      <c r="AC12" s="242">
        <f>+'Gain action'!L12*AC$3</f>
        <v>251.21956777027569</v>
      </c>
      <c r="AD12" s="242">
        <f>+'Gain action'!M12*AD$3</f>
        <v>155.18692135532547</v>
      </c>
      <c r="AE12" s="242">
        <f>+'Gain action'!N12*AE$3</f>
        <v>135.16447117745668</v>
      </c>
      <c r="AF12" s="242">
        <f>+'Gain action'!O12*AF$3</f>
        <v>166.66934215614347</v>
      </c>
      <c r="AG12" s="243">
        <f>+'Gain action'!P12*AG$3</f>
        <v>56.802411958619636</v>
      </c>
      <c r="AH12" s="244">
        <f t="shared" si="1"/>
        <v>2066.4279988181042</v>
      </c>
    </row>
    <row r="13" spans="1:34" s="236" customFormat="1" ht="12.75" x14ac:dyDescent="0.2">
      <c r="A13" s="237">
        <v>2027</v>
      </c>
      <c r="B13" s="142">
        <f>[1]Recap!$H20</f>
        <v>476.20908216684353</v>
      </c>
      <c r="C13" s="142">
        <f>[2]Recap!$H20</f>
        <v>566.60587698495863</v>
      </c>
      <c r="D13" s="142">
        <f>[3]Recap!$H20</f>
        <v>368.53863786143432</v>
      </c>
      <c r="E13" s="142">
        <f>[4]Recap!$H20</f>
        <v>395.58962406000563</v>
      </c>
      <c r="F13" s="142">
        <f>[5]Recap!$H20</f>
        <v>592.79038417359345</v>
      </c>
      <c r="G13" s="142">
        <f>[6]Recap!$H20</f>
        <v>796.74549205173673</v>
      </c>
      <c r="H13" s="142">
        <f>[7]Recap!$H20</f>
        <v>712.85596820331557</v>
      </c>
      <c r="I13" s="142">
        <f>[8]Recap!$H19</f>
        <v>273.23400945457229</v>
      </c>
      <c r="J13" s="142">
        <f>[9]Recap!$H19</f>
        <v>352.39330271929128</v>
      </c>
      <c r="K13" s="142">
        <f>[10]Recap!$H19</f>
        <v>481.21788418437029</v>
      </c>
      <c r="L13" s="142">
        <f>[11]Recap!$H18</f>
        <v>1691.7453120909624</v>
      </c>
      <c r="M13" s="142">
        <f>[12]Recap!$H18</f>
        <v>1009.0289663000765</v>
      </c>
      <c r="N13" s="142">
        <f>[13]Recap!$H18</f>
        <v>781.38852185640872</v>
      </c>
      <c r="O13" s="238">
        <f>[14]Recap!$H16</f>
        <v>1228.9004938124249</v>
      </c>
      <c r="P13" s="239">
        <f>[15]Recap!$H16</f>
        <v>297.86364420318057</v>
      </c>
      <c r="Q13" s="245">
        <f t="shared" si="0"/>
        <v>10025.107200123175</v>
      </c>
      <c r="R13" s="241">
        <v>2027</v>
      </c>
      <c r="S13" s="246">
        <f>+'Gain action'!B13*S$3</f>
        <v>110.43288615449102</v>
      </c>
      <c r="T13" s="246">
        <f>+'Gain action'!C13*T$3</f>
        <v>131.39590287281192</v>
      </c>
      <c r="U13" s="246">
        <f>+'Gain action'!D13*U$3</f>
        <v>85.464110120066621</v>
      </c>
      <c r="V13" s="246">
        <f>+'Gain action'!E13*V$3</f>
        <v>91.737233819515311</v>
      </c>
      <c r="W13" s="246">
        <f>+'Gain action'!F13*W$3</f>
        <v>137.46809008985633</v>
      </c>
      <c r="X13" s="246">
        <f>+'Gain action'!G13*X$3</f>
        <v>184.76527960679775</v>
      </c>
      <c r="Y13" s="246">
        <f>+'Gain action'!H13*Y$3</f>
        <v>165.31129902634888</v>
      </c>
      <c r="Z13" s="246">
        <f>+'Gain action'!I13*Z$3</f>
        <v>54.64680189091446</v>
      </c>
      <c r="AA13" s="246">
        <f>+'Gain action'!J13*AA$3</f>
        <v>70.478660543858254</v>
      </c>
      <c r="AB13" s="246">
        <f>+'Gain action'!K13*AB$3</f>
        <v>96.24357683687407</v>
      </c>
      <c r="AC13" s="246">
        <f>+'Gain action'!L13*AC$3</f>
        <v>204.19365916937917</v>
      </c>
      <c r="AD13" s="246">
        <f>+'Gain action'!M13*AD$3</f>
        <v>121.78979623241923</v>
      </c>
      <c r="AE13" s="246">
        <f>+'Gain action'!N13*AE$3</f>
        <v>94.31359458806854</v>
      </c>
      <c r="AF13" s="246">
        <f>+'Gain action'!O13*AF$3</f>
        <v>133.82726377617306</v>
      </c>
      <c r="AG13" s="247">
        <f>+'Gain action'!P13*AG$3</f>
        <v>45.305060283303767</v>
      </c>
      <c r="AH13" s="248">
        <f t="shared" si="1"/>
        <v>1727.3732150108785</v>
      </c>
    </row>
    <row r="14" spans="1:34" x14ac:dyDescent="0.25">
      <c r="A14" s="237">
        <v>2028</v>
      </c>
      <c r="I14" s="142">
        <f>[8]Recap!$H20</f>
        <v>326.61134750165223</v>
      </c>
      <c r="J14" s="142">
        <f>[9]Recap!$H20</f>
        <v>422.24795009399332</v>
      </c>
      <c r="K14" s="142">
        <f>[10]Recap!$H20</f>
        <v>575.7302020735483</v>
      </c>
      <c r="L14" s="142">
        <f>[11]Recap!$H19</f>
        <v>2035.1063344258466</v>
      </c>
      <c r="M14" s="142">
        <f>[12]Recap!$H19</f>
        <v>1272.0658521607529</v>
      </c>
      <c r="N14" s="142">
        <f>[13]Recap!$H19</f>
        <v>977.41092770961723</v>
      </c>
      <c r="O14" s="238">
        <f>[14]Recap!$H17</f>
        <v>1501.942487128169</v>
      </c>
      <c r="P14" s="239">
        <f>[15]Recap!$H17</f>
        <v>369.47840364935615</v>
      </c>
      <c r="R14" s="241">
        <v>2028</v>
      </c>
    </row>
    <row r="15" spans="1:34" s="236" customFormat="1" x14ac:dyDescent="0.2">
      <c r="A15" s="237">
        <v>2029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142">
        <f>[11]Recap!$H20</f>
        <v>1674.7336598121517</v>
      </c>
      <c r="M15" s="142">
        <f>[12]Recap!$H20</f>
        <v>997.91472347780905</v>
      </c>
      <c r="N15" s="142">
        <f>[13]Recap!$H20</f>
        <v>776.9554490783795</v>
      </c>
      <c r="O15" s="238">
        <f>[14]Recap!$H18</f>
        <v>1186.4948085770229</v>
      </c>
      <c r="P15" s="239">
        <f>[15]Recap!$H18</f>
        <v>287.24451263330172</v>
      </c>
      <c r="Q15" s="245"/>
      <c r="R15" s="241">
        <v>2029</v>
      </c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</row>
    <row r="16" spans="1:34" s="236" customFormat="1" x14ac:dyDescent="0.2">
      <c r="A16" s="237">
        <v>2030</v>
      </c>
      <c r="B16" s="249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38">
        <f>[14]Recap!$H19</f>
        <v>1479.678068315852</v>
      </c>
      <c r="P16" s="239">
        <f>[15]Recap!$H19</f>
        <v>363.96041071657891</v>
      </c>
      <c r="Q16" s="245"/>
      <c r="R16" s="241">
        <v>2030</v>
      </c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</row>
    <row r="17" spans="1:34" s="236" customFormat="1" x14ac:dyDescent="0.2">
      <c r="A17" s="237">
        <v>2031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38">
        <f>[14]Recap!$H20</f>
        <v>1172.9882467717914</v>
      </c>
      <c r="P17" s="239">
        <f>[15]Recap!$H20</f>
        <v>283.77783729027925</v>
      </c>
      <c r="Q17" s="245"/>
      <c r="R17" s="241">
        <v>2031</v>
      </c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</row>
    <row r="18" spans="1:34" s="236" customFormat="1" x14ac:dyDescent="0.2">
      <c r="A18" s="251" t="s">
        <v>57</v>
      </c>
      <c r="B18" s="149">
        <f t="shared" ref="B18:H18" si="2">SUM(B8:B13)</f>
        <v>2603.7621050261532</v>
      </c>
      <c r="C18" s="149">
        <f t="shared" si="2"/>
        <v>4245.2573911404697</v>
      </c>
      <c r="D18" s="149">
        <f t="shared" si="2"/>
        <v>2423.9441419394657</v>
      </c>
      <c r="E18" s="149">
        <f t="shared" si="2"/>
        <v>2726.1359604021468</v>
      </c>
      <c r="F18" s="149">
        <f t="shared" si="2"/>
        <v>4248.6402064635822</v>
      </c>
      <c r="G18" s="149">
        <f t="shared" si="2"/>
        <v>4488.8625020406807</v>
      </c>
      <c r="H18" s="149">
        <f t="shared" si="2"/>
        <v>4574.9928222345698</v>
      </c>
      <c r="I18" s="149">
        <f t="shared" ref="I18:P18" si="3">SUM(I10:I13)</f>
        <v>1301.783558006859</v>
      </c>
      <c r="J18" s="149">
        <f t="shared" si="3"/>
        <v>1626.1570680899886</v>
      </c>
      <c r="K18" s="149">
        <f t="shared" si="3"/>
        <v>2154.8740613433356</v>
      </c>
      <c r="L18" s="149">
        <f t="shared" si="3"/>
        <v>7726.7153927587105</v>
      </c>
      <c r="M18" s="149">
        <f t="shared" si="3"/>
        <v>4674.3183819792421</v>
      </c>
      <c r="N18" s="149">
        <f t="shared" si="3"/>
        <v>4978.3647177584262</v>
      </c>
      <c r="O18" s="149">
        <f t="shared" si="3"/>
        <v>5277.6744371361783</v>
      </c>
      <c r="P18" s="149">
        <f t="shared" si="3"/>
        <v>1242.9500476325102</v>
      </c>
      <c r="Q18" s="245">
        <f>SUM(B18:P18)</f>
        <v>54294.432793952321</v>
      </c>
      <c r="R18" s="252" t="s">
        <v>57</v>
      </c>
      <c r="S18" s="253">
        <f t="shared" ref="S18:Y18" si="4">SUM(S8:S13)</f>
        <v>603.81243215556503</v>
      </c>
      <c r="T18" s="253">
        <f t="shared" si="4"/>
        <v>984.47518900547493</v>
      </c>
      <c r="U18" s="253">
        <f t="shared" si="4"/>
        <v>562.11264651576198</v>
      </c>
      <c r="V18" s="253">
        <f t="shared" si="4"/>
        <v>632.1909292172578</v>
      </c>
      <c r="W18" s="253">
        <f t="shared" si="4"/>
        <v>985.25966387890458</v>
      </c>
      <c r="X18" s="253">
        <f t="shared" si="4"/>
        <v>1040.9672142232339</v>
      </c>
      <c r="Y18" s="253">
        <f t="shared" si="4"/>
        <v>1060.9408354761968</v>
      </c>
      <c r="Z18" s="253">
        <f>SUM(Z9:Z13)</f>
        <v>386.1371337133611</v>
      </c>
      <c r="AA18" s="253">
        <f>SUM(AA9:AA13)</f>
        <v>449.35660449068132</v>
      </c>
      <c r="AB18" s="253">
        <f>SUM(AB9:AB13)</f>
        <v>610.32450499827746</v>
      </c>
      <c r="AC18" s="253">
        <f>SUM(AC8:AC13)</f>
        <v>1236.2221753603899</v>
      </c>
      <c r="AD18" s="253">
        <f>SUM(AD8:AD13)</f>
        <v>904.71346420514408</v>
      </c>
      <c r="AE18" s="253">
        <f>SUM(AE8:AE13)</f>
        <v>600.88862143344215</v>
      </c>
      <c r="AF18" s="253">
        <f>SUM(AF8:AF13)</f>
        <v>574.73874620412982</v>
      </c>
      <c r="AG18" s="253">
        <f>SUM(AG8:AG13)</f>
        <v>189.05270224490479</v>
      </c>
      <c r="AH18" s="253">
        <f>SUM(S18:AG18)</f>
        <v>10821.192863122726</v>
      </c>
    </row>
    <row r="19" spans="1:34" s="236" customFormat="1" x14ac:dyDescent="0.25">
      <c r="A19" s="25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45"/>
      <c r="R19" s="255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214"/>
    </row>
    <row r="20" spans="1:34" s="258" customFormat="1" ht="15.75" x14ac:dyDescent="0.25">
      <c r="A20" s="256" t="s">
        <v>70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45"/>
      <c r="R20" s="257" t="s">
        <v>70</v>
      </c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4"/>
    </row>
    <row r="21" spans="1:34" ht="33.75" x14ac:dyDescent="0.25">
      <c r="A21" s="88" t="s">
        <v>4</v>
      </c>
      <c r="B21" s="12" t="s">
        <v>5</v>
      </c>
      <c r="C21" s="12" t="s">
        <v>6</v>
      </c>
      <c r="D21" s="12" t="s">
        <v>7</v>
      </c>
      <c r="E21" s="12" t="s">
        <v>8</v>
      </c>
      <c r="F21" s="12" t="s">
        <v>9</v>
      </c>
      <c r="G21" s="12" t="s">
        <v>10</v>
      </c>
      <c r="H21" s="12" t="s">
        <v>11</v>
      </c>
      <c r="I21" s="12" t="s">
        <v>12</v>
      </c>
      <c r="J21" s="12" t="s">
        <v>13</v>
      </c>
      <c r="K21" s="12" t="s">
        <v>14</v>
      </c>
      <c r="L21" s="12" t="s">
        <v>15</v>
      </c>
      <c r="M21" s="12" t="s">
        <v>16</v>
      </c>
      <c r="N21" s="12" t="s">
        <v>17</v>
      </c>
      <c r="O21" s="12" t="s">
        <v>18</v>
      </c>
      <c r="P21" s="12" t="s">
        <v>19</v>
      </c>
      <c r="Q21" s="216" t="s">
        <v>56</v>
      </c>
      <c r="R21" s="217" t="s">
        <v>4</v>
      </c>
      <c r="S21" s="12" t="s">
        <v>5</v>
      </c>
      <c r="T21" s="12" t="s">
        <v>6</v>
      </c>
      <c r="U21" s="12" t="s">
        <v>7</v>
      </c>
      <c r="V21" s="12" t="s">
        <v>8</v>
      </c>
      <c r="W21" s="12" t="s">
        <v>9</v>
      </c>
      <c r="X21" s="12" t="s">
        <v>10</v>
      </c>
      <c r="Y21" s="12" t="s">
        <v>11</v>
      </c>
      <c r="Z21" s="12" t="s">
        <v>12</v>
      </c>
      <c r="AA21" s="12" t="s">
        <v>13</v>
      </c>
      <c r="AB21" s="12" t="s">
        <v>14</v>
      </c>
      <c r="AC21" s="12" t="s">
        <v>15</v>
      </c>
      <c r="AD21" s="12" t="s">
        <v>16</v>
      </c>
      <c r="AE21" s="12" t="s">
        <v>17</v>
      </c>
      <c r="AF21" s="12" t="s">
        <v>18</v>
      </c>
      <c r="AG21" s="12" t="s">
        <v>19</v>
      </c>
      <c r="AH21" s="218" t="s">
        <v>69</v>
      </c>
    </row>
    <row r="22" spans="1:34" x14ac:dyDescent="0.25">
      <c r="A22" s="219">
        <v>2021</v>
      </c>
      <c r="B22" s="152">
        <f>[1]Recap!$I14</f>
        <v>-1.6599989140942988</v>
      </c>
      <c r="C22" s="152">
        <f>[2]Recap!$I14</f>
        <v>-0.76147889062777985</v>
      </c>
      <c r="D22" s="152">
        <f>[3]Recap!$I14</f>
        <v>-6.4182154756231125E-2</v>
      </c>
      <c r="E22" s="152">
        <f>[4]Recap!$I14</f>
        <v>-2.4040267854287145E-2</v>
      </c>
      <c r="F22" s="152">
        <f>[5]Recap!$I14</f>
        <v>83.134218171671705</v>
      </c>
      <c r="G22" s="152">
        <f>[6]Recap!$I14</f>
        <v>-0.29237109502494407</v>
      </c>
      <c r="H22" s="152">
        <f>[7]Recap!$I14</f>
        <v>-4.0991204228131082</v>
      </c>
      <c r="I22" s="152"/>
      <c r="J22" s="152"/>
      <c r="K22" s="152"/>
      <c r="L22" s="152"/>
      <c r="M22" s="152"/>
      <c r="N22" s="152"/>
      <c r="O22" s="152"/>
      <c r="P22" s="153"/>
      <c r="Q22" s="259">
        <f>SUM(B22:P22)</f>
        <v>76.233026426501056</v>
      </c>
      <c r="R22" s="221">
        <v>2021</v>
      </c>
      <c r="S22" s="260">
        <f>+'Gain action'!B22*S$3</f>
        <v>-0.38495374817846789</v>
      </c>
      <c r="T22" s="260">
        <f>+'Gain action'!C22*T$3</f>
        <v>-0.17658695473658215</v>
      </c>
      <c r="U22" s="260">
        <f>+'Gain action'!D22*U$3</f>
        <v>-1.4883841687969997E-2</v>
      </c>
      <c r="V22" s="260">
        <f>+'Gain action'!E22*V$3</f>
        <v>-5.5749381154091889E-3</v>
      </c>
      <c r="W22" s="260">
        <f>+'Gain action'!F22*W$3</f>
        <v>19.278825194010668</v>
      </c>
      <c r="X22" s="260">
        <f>+'Gain action'!G22*X$3</f>
        <v>-6.7800856936284529E-2</v>
      </c>
      <c r="Y22" s="260">
        <f>+'Gain action'!H22*Y$3</f>
        <v>-0.9505860260503598</v>
      </c>
      <c r="Z22" s="260"/>
      <c r="AA22" s="260"/>
      <c r="AB22" s="260"/>
      <c r="AC22" s="260"/>
      <c r="AD22" s="260"/>
      <c r="AE22" s="260"/>
      <c r="AF22" s="260"/>
      <c r="AG22" s="261"/>
      <c r="AH22" s="262">
        <f>SUM(S22:AG22)</f>
        <v>17.678438828305595</v>
      </c>
    </row>
    <row r="23" spans="1:34" s="225" customFormat="1" ht="12.75" x14ac:dyDescent="0.2">
      <c r="A23" s="219">
        <v>2022</v>
      </c>
      <c r="B23" s="152">
        <f>[1]Recap!$I15</f>
        <v>-1.9937197098665465</v>
      </c>
      <c r="C23" s="152">
        <f>[2]Recap!$I15</f>
        <v>-1.1582575926223839</v>
      </c>
      <c r="D23" s="152">
        <f>[3]Recap!$I15</f>
        <v>-9.003125290007441E-2</v>
      </c>
      <c r="E23" s="152">
        <f>[4]Recap!$I15</f>
        <v>-3.7400982235009206E-2</v>
      </c>
      <c r="F23" s="152">
        <f>[5]Recap!$I15</f>
        <v>63.649355556299085</v>
      </c>
      <c r="G23" s="152">
        <f>[6]Recap!$I15</f>
        <v>-0.38478662776655437</v>
      </c>
      <c r="H23" s="152">
        <f>[7]Recap!$I15</f>
        <v>-4.2493365285623383</v>
      </c>
      <c r="I23" s="152">
        <f>[8]Recap!$I14</f>
        <v>0.20405025969142798</v>
      </c>
      <c r="J23" s="152">
        <f>[9]Recap!$I14</f>
        <v>-0.3839533258578065</v>
      </c>
      <c r="K23" s="152">
        <f>[10]Recap!$I14</f>
        <v>-2.816996816921663E-2</v>
      </c>
      <c r="L23" s="152">
        <f>[11]Recap!$I13</f>
        <v>-1.8527461698983116E-2</v>
      </c>
      <c r="M23" s="152">
        <f>[12]Recap!$I13</f>
        <v>-0.18745103934074514</v>
      </c>
      <c r="N23" s="152"/>
      <c r="O23" s="152"/>
      <c r="P23" s="156"/>
      <c r="Q23" s="259">
        <f t="shared" ref="Q23:Q29" si="5">SUM(B23:P23)</f>
        <v>55.321771326970868</v>
      </c>
      <c r="R23" s="221">
        <v>2022</v>
      </c>
      <c r="S23" s="260">
        <f>+'Gain action'!B23*S$3</f>
        <v>-0.46234360071805214</v>
      </c>
      <c r="T23" s="260">
        <f>+'Gain action'!C23*T$3</f>
        <v>-0.26859993572913082</v>
      </c>
      <c r="U23" s="260">
        <f>+'Gain action'!D23*U$3</f>
        <v>-2.0878247547527255E-2</v>
      </c>
      <c r="V23" s="260">
        <f>+'Gain action'!E23*V$3</f>
        <v>-8.6732877802986347E-3</v>
      </c>
      <c r="W23" s="260">
        <f>+'Gain action'!F23*W$3</f>
        <v>14.760285553505758</v>
      </c>
      <c r="X23" s="260">
        <f>+'Gain action'!G23*X$3</f>
        <v>-8.9232018979063951E-2</v>
      </c>
      <c r="Y23" s="260">
        <f>+'Gain action'!H23*Y$3</f>
        <v>-0.98542114097360622</v>
      </c>
      <c r="Z23" s="260">
        <f>+'Gain action'!I23*Z$3</f>
        <v>4.0810051938285602E-2</v>
      </c>
      <c r="AA23" s="260">
        <f>+'Gain action'!J23*AA$3</f>
        <v>-7.6790665171561301E-2</v>
      </c>
      <c r="AB23" s="260">
        <f>+'Gain action'!K23*AB$3</f>
        <v>-5.6339936338433262E-3</v>
      </c>
      <c r="AC23" s="260">
        <f>+'Gain action'!L23*AC$3</f>
        <v>-2.2362646270672622E-3</v>
      </c>
      <c r="AD23" s="260">
        <f>+'Gain action'!M23*AD$3</f>
        <v>-2.2625340448427938E-2</v>
      </c>
      <c r="AE23" s="260"/>
      <c r="AF23" s="260"/>
      <c r="AG23" s="261"/>
      <c r="AH23" s="262">
        <f t="shared" ref="AH23:AH29" si="6">SUM(S23:AG23)</f>
        <v>12.858661109835463</v>
      </c>
    </row>
    <row r="24" spans="1:34" s="236" customFormat="1" ht="12.75" x14ac:dyDescent="0.2">
      <c r="A24" s="226">
        <v>2023</v>
      </c>
      <c r="B24" s="227">
        <f>[1]Recap!$I16</f>
        <v>-2.971951546018694</v>
      </c>
      <c r="C24" s="228">
        <f>[2]Recap!$I16</f>
        <v>-1.0500544488684156</v>
      </c>
      <c r="D24" s="228">
        <f>[3]Recap!$I16</f>
        <v>-7.598548009116346E-2</v>
      </c>
      <c r="E24" s="228">
        <f>[4]Recap!$I16</f>
        <v>-3.5212085933628678E-2</v>
      </c>
      <c r="F24" s="228">
        <f>[5]Recap!$I16</f>
        <v>75.814845878485158</v>
      </c>
      <c r="G24" s="228">
        <f>[6]Recap!$I16</f>
        <v>-0.62841110070755413</v>
      </c>
      <c r="H24" s="228">
        <f>[7]Recap!$I16</f>
        <v>-12.781077411353209</v>
      </c>
      <c r="I24" s="228">
        <f>[8]Recap!$I15</f>
        <v>-0.42830619172006834</v>
      </c>
      <c r="J24" s="228">
        <f>[9]Recap!$I15</f>
        <v>-0.54890714132683627</v>
      </c>
      <c r="K24" s="228">
        <f>[10]Recap!$I15</f>
        <v>-4.1233444067140412E-2</v>
      </c>
      <c r="L24" s="228">
        <f>[11]Recap!$I14</f>
        <v>-2.7076641198125251E-2</v>
      </c>
      <c r="M24" s="228">
        <f>[12]Recap!$I14</f>
        <v>-0.27600489500782288</v>
      </c>
      <c r="N24" s="228">
        <f>[13]Recap!$I14</f>
        <v>0</v>
      </c>
      <c r="O24" s="228"/>
      <c r="P24" s="229"/>
      <c r="Q24" s="230">
        <f t="shared" si="5"/>
        <v>56.950625492192493</v>
      </c>
      <c r="R24" s="231">
        <v>2023</v>
      </c>
      <c r="S24" s="232">
        <f>+'Gain action'!B24*S$3</f>
        <v>-0.68919556352173517</v>
      </c>
      <c r="T24" s="233">
        <f>+'Gain action'!C24*T$3</f>
        <v>-0.24350762669258558</v>
      </c>
      <c r="U24" s="233">
        <f>+'Gain action'!D24*U$3</f>
        <v>-1.7621032833140805E-2</v>
      </c>
      <c r="V24" s="233">
        <f>+'Gain action'!E24*V$3</f>
        <v>-8.1656827280084908E-3</v>
      </c>
      <c r="W24" s="233">
        <f>+'Gain action'!F24*W$3</f>
        <v>17.58146275922071</v>
      </c>
      <c r="X24" s="233">
        <f>+'Gain action'!G24*X$3</f>
        <v>-0.1457285342540818</v>
      </c>
      <c r="Y24" s="233">
        <f>+'Gain action'!H24*Y$3</f>
        <v>-2.9639318516928093</v>
      </c>
      <c r="Z24" s="233">
        <f>+'Gain action'!I24*Z$3</f>
        <v>-8.5661238344013679E-2</v>
      </c>
      <c r="AA24" s="233">
        <f>+'Gain action'!J24*AA$3</f>
        <v>-0.10978142826536726</v>
      </c>
      <c r="AB24" s="233">
        <f>+'Gain action'!K24*AB$3</f>
        <v>-8.2466888134280821E-3</v>
      </c>
      <c r="AC24" s="233">
        <f>+'Gain action'!L24*AC$3</f>
        <v>-3.2681505926137177E-3</v>
      </c>
      <c r="AD24" s="233">
        <f>+'Gain action'!M24*AD$3</f>
        <v>-3.331379082744422E-2</v>
      </c>
      <c r="AE24" s="233">
        <f>+'Gain action'!N24*AE$3</f>
        <v>0</v>
      </c>
      <c r="AF24" s="233"/>
      <c r="AG24" s="234"/>
      <c r="AH24" s="235">
        <f t="shared" si="6"/>
        <v>13.273041170655482</v>
      </c>
    </row>
    <row r="25" spans="1:34" s="236" customFormat="1" ht="12.75" x14ac:dyDescent="0.2">
      <c r="A25" s="237">
        <v>2024</v>
      </c>
      <c r="B25" s="238">
        <f>[1]Recap!$I17</f>
        <v>-2.6785261363668553</v>
      </c>
      <c r="C25" s="238">
        <f>[2]Recap!$I17</f>
        <v>-3.033756168705164</v>
      </c>
      <c r="D25" s="238">
        <f>[3]Recap!$I17</f>
        <v>-0.24486115593349211</v>
      </c>
      <c r="E25" s="238">
        <f>[4]Recap!$I17</f>
        <v>-9.6937171352466267E-2</v>
      </c>
      <c r="F25" s="238">
        <f>[5]Recap!$I17</f>
        <v>81.260759881005555</v>
      </c>
      <c r="G25" s="238">
        <f>[6]Recap!$I17</f>
        <v>-0.62159364105042414</v>
      </c>
      <c r="H25" s="238">
        <f>[7]Recap!$I17</f>
        <v>-14.951481506683763</v>
      </c>
      <c r="I25" s="238">
        <f>[8]Recap!$I16</f>
        <v>0.74418745304076594</v>
      </c>
      <c r="J25" s="238">
        <f>[9]Recap!$I16</f>
        <v>-0.58723881059800043</v>
      </c>
      <c r="K25" s="238">
        <f>[10]Recap!$I16</f>
        <v>-4.1249999192584097E-2</v>
      </c>
      <c r="L25" s="238">
        <f>[11]Recap!$I15</f>
        <v>-6.4676785434874429E-2</v>
      </c>
      <c r="M25" s="238">
        <f>[12]Recap!$I15</f>
        <v>-0.41064278813663435</v>
      </c>
      <c r="N25" s="238">
        <f>[13]Recap!$I15</f>
        <v>-6.0080105186745447E-2</v>
      </c>
      <c r="O25" s="238">
        <f>[14]Recap!$I13</f>
        <v>-0.27343625272676775</v>
      </c>
      <c r="P25" s="239">
        <f>[15]Recap!$I13</f>
        <v>-0.17330328244891025</v>
      </c>
      <c r="Q25" s="240">
        <f t="shared" si="5"/>
        <v>58.767163530229631</v>
      </c>
      <c r="R25" s="241">
        <v>2024</v>
      </c>
      <c r="S25" s="242">
        <f>+'Gain action'!B25*S$3</f>
        <v>-0.62115021102347379</v>
      </c>
      <c r="T25" s="242">
        <f>+'Gain action'!C25*T$3</f>
        <v>-0.70352805552272746</v>
      </c>
      <c r="U25" s="242">
        <f>+'Gain action'!D25*U$3</f>
        <v>-5.6783302060976822E-2</v>
      </c>
      <c r="V25" s="242">
        <f>+'Gain action'!E25*V$3</f>
        <v>-2.2479730036636926E-2</v>
      </c>
      <c r="W25" s="242">
        <f>+'Gain action'!F25*W$3</f>
        <v>18.844370216405189</v>
      </c>
      <c r="X25" s="242">
        <f>+'Gain action'!G25*X$3</f>
        <v>-0.14414756535959336</v>
      </c>
      <c r="Y25" s="242">
        <f>+'Gain action'!H25*Y$3</f>
        <v>-3.4672485613999644</v>
      </c>
      <c r="Z25" s="242">
        <f>+'Gain action'!I25*Z$3</f>
        <v>0.14883749060815318</v>
      </c>
      <c r="AA25" s="242">
        <f>+'Gain action'!J25*AA$3</f>
        <v>-0.11744776211960009</v>
      </c>
      <c r="AB25" s="242">
        <f>+'Gain action'!K25*AB$3</f>
        <v>-8.2499998385168194E-3</v>
      </c>
      <c r="AC25" s="242">
        <f>+'Gain action'!L25*AC$3</f>
        <v>-7.8064880019893439E-3</v>
      </c>
      <c r="AD25" s="242">
        <f>+'Gain action'!M25*AD$3</f>
        <v>-4.9564584528091767E-2</v>
      </c>
      <c r="AE25" s="242">
        <f>+'Gain action'!N25*AE$3</f>
        <v>-7.2516686960401753E-3</v>
      </c>
      <c r="AF25" s="242">
        <f>+'Gain action'!O25*AF$3</f>
        <v>-2.9777207921945006E-2</v>
      </c>
      <c r="AG25" s="243">
        <f>+'Gain action'!P25*AG$3</f>
        <v>-2.6359429260479249E-2</v>
      </c>
      <c r="AH25" s="244">
        <f t="shared" si="6"/>
        <v>13.731413141243307</v>
      </c>
    </row>
    <row r="26" spans="1:34" s="236" customFormat="1" ht="12.75" x14ac:dyDescent="0.2">
      <c r="A26" s="237">
        <v>2025</v>
      </c>
      <c r="B26" s="238">
        <f>[1]Recap!$I18</f>
        <v>27.498618314452127</v>
      </c>
      <c r="C26" s="238">
        <f>[2]Recap!$I18</f>
        <v>29.433576733128277</v>
      </c>
      <c r="D26" s="238">
        <f>[3]Recap!$I18</f>
        <v>4.1940637952231814</v>
      </c>
      <c r="E26" s="238">
        <f>[4]Recap!$I18</f>
        <v>1.6877102058504887</v>
      </c>
      <c r="F26" s="238">
        <f>[5]Recap!$I18</f>
        <v>87.773756461369544</v>
      </c>
      <c r="G26" s="238">
        <f>[6]Recap!$I18</f>
        <v>7.2979267739821658</v>
      </c>
      <c r="H26" s="238">
        <f>[7]Recap!$I18</f>
        <v>121.43259291448197</v>
      </c>
      <c r="I26" s="238">
        <f>[8]Recap!$I17</f>
        <v>1.5344431309027442</v>
      </c>
      <c r="J26" s="238">
        <f>[9]Recap!$I17</f>
        <v>-0.55450378290463576</v>
      </c>
      <c r="K26" s="238">
        <f>[10]Recap!$I17</f>
        <v>-3.8043180374718655E-2</v>
      </c>
      <c r="L26" s="238">
        <f>[11]Recap!$I16</f>
        <v>-7.4690257178064101E-2</v>
      </c>
      <c r="M26" s="238">
        <f>[12]Recap!$I16</f>
        <v>-0.42765881696942998</v>
      </c>
      <c r="N26" s="238">
        <f>[13]Recap!$I16</f>
        <v>-9.7543825692435693E-2</v>
      </c>
      <c r="O26" s="238">
        <f>[14]Recap!$I14</f>
        <v>-0.3248914757905883</v>
      </c>
      <c r="P26" s="239">
        <f>[15]Recap!$I14</f>
        <v>-0.19426814182630281</v>
      </c>
      <c r="Q26" s="240">
        <f t="shared" si="5"/>
        <v>279.14108884865436</v>
      </c>
      <c r="R26" s="241">
        <v>2025</v>
      </c>
      <c r="S26" s="242">
        <f>+'Gain action'!B26*S$3</f>
        <v>6.376929587121448</v>
      </c>
      <c r="T26" s="242">
        <f>+'Gain action'!C26*T$3</f>
        <v>6.8256464444124472</v>
      </c>
      <c r="U26" s="242">
        <f>+'Gain action'!D26*U$3</f>
        <v>0.97260339411225571</v>
      </c>
      <c r="V26" s="242">
        <f>+'Gain action'!E26*V$3</f>
        <v>0.3913799967367283</v>
      </c>
      <c r="W26" s="242">
        <f>+'Gain action'!F26*W$3</f>
        <v>20.354734123391598</v>
      </c>
      <c r="X26" s="242">
        <f>+'Gain action'!G26*X$3</f>
        <v>1.6923892188864642</v>
      </c>
      <c r="Y26" s="242">
        <f>+'Gain action'!H26*Y$3</f>
        <v>28.160218296868369</v>
      </c>
      <c r="Z26" s="242">
        <f>+'Gain action'!I26*Z$3</f>
        <v>0.30688862618054885</v>
      </c>
      <c r="AA26" s="242">
        <f>+'Gain action'!J26*AA$3</f>
        <v>-0.11090075658092716</v>
      </c>
      <c r="AB26" s="242">
        <f>+'Gain action'!K26*AB$3</f>
        <v>-7.6086360749437311E-3</v>
      </c>
      <c r="AC26" s="242">
        <f>+'Gain action'!L26*AC$3</f>
        <v>-9.0151140413923369E-3</v>
      </c>
      <c r="AD26" s="242">
        <f>+'Gain action'!M26*AD$3</f>
        <v>-5.1618419208210198E-2</v>
      </c>
      <c r="AE26" s="242">
        <f>+'Gain action'!N26*AE$3</f>
        <v>-1.1773539761076987E-2</v>
      </c>
      <c r="AF26" s="242">
        <f>+'Gain action'!O26*AF$3</f>
        <v>-3.5380681713595062E-2</v>
      </c>
      <c r="AG26" s="243">
        <f>+'Gain action'!P26*AG$3</f>
        <v>-2.954818437178066E-2</v>
      </c>
      <c r="AH26" s="244">
        <f t="shared" si="6"/>
        <v>64.824944355957925</v>
      </c>
    </row>
    <row r="27" spans="1:34" s="236" customFormat="1" ht="12.75" x14ac:dyDescent="0.2">
      <c r="A27" s="237">
        <v>2026</v>
      </c>
      <c r="B27" s="238">
        <f>[1]Recap!$I19</f>
        <v>55.144946893899245</v>
      </c>
      <c r="C27" s="238">
        <f>[2]Recap!$I19</f>
        <v>40.022316481804936</v>
      </c>
      <c r="D27" s="238">
        <f>[3]Recap!$I19</f>
        <v>5.2691481988944435</v>
      </c>
      <c r="E27" s="238">
        <f>[4]Recap!$I19</f>
        <v>2.6146527978014884</v>
      </c>
      <c r="F27" s="238">
        <f>[5]Recap!$I19</f>
        <v>95.63521109291483</v>
      </c>
      <c r="G27" s="238">
        <f>[6]Recap!$I19</f>
        <v>11.412654080871214</v>
      </c>
      <c r="H27" s="238">
        <f>[7]Recap!$I19</f>
        <v>236.8267189239024</v>
      </c>
      <c r="I27" s="238">
        <f>[8]Recap!$I18</f>
        <v>76.68568249733255</v>
      </c>
      <c r="J27" s="238">
        <f>[9]Recap!$I18</f>
        <v>14.267553361673155</v>
      </c>
      <c r="K27" s="238">
        <f>[10]Recap!$I18</f>
        <v>0.72006980076916571</v>
      </c>
      <c r="L27" s="238">
        <f>[11]Recap!$I17</f>
        <v>-0.10941387260391577</v>
      </c>
      <c r="M27" s="238">
        <f>[12]Recap!$I17</f>
        <v>-0.72468929812687577</v>
      </c>
      <c r="N27" s="238">
        <f>[13]Recap!$I17</f>
        <v>-0.13771351318855096</v>
      </c>
      <c r="O27" s="238">
        <f>[14]Recap!$I15</f>
        <v>-0.58011543175026503</v>
      </c>
      <c r="P27" s="239">
        <f>[15]Recap!$I15</f>
        <v>-0.37516310993292024</v>
      </c>
      <c r="Q27" s="240">
        <f t="shared" si="5"/>
        <v>536.67185890426072</v>
      </c>
      <c r="R27" s="241">
        <v>2026</v>
      </c>
      <c r="S27" s="242">
        <f>+'Gain action'!B27*S$3</f>
        <v>12.788113184695234</v>
      </c>
      <c r="T27" s="242">
        <f>+'Gain action'!C27*T$3</f>
        <v>9.281175192130565</v>
      </c>
      <c r="U27" s="242">
        <f>+'Gain action'!D27*U$3</f>
        <v>1.2219154673236214</v>
      </c>
      <c r="V27" s="242">
        <f>+'Gain action'!E27*V$3</f>
        <v>0.60633798381016513</v>
      </c>
      <c r="W27" s="242">
        <f>+'Gain action'!F27*W$3</f>
        <v>22.177805452446947</v>
      </c>
      <c r="X27" s="242">
        <f>+'Gain action'!G27*X$3</f>
        <v>2.6465944813540343</v>
      </c>
      <c r="Y27" s="242">
        <f>+'Gain action'!H27*Y$3</f>
        <v>54.920116118452967</v>
      </c>
      <c r="Z27" s="242">
        <f>+'Gain action'!I27*Z$3</f>
        <v>15.33713649946651</v>
      </c>
      <c r="AA27" s="242">
        <f>+'Gain action'!J27*AA$3</f>
        <v>2.8535106723346311</v>
      </c>
      <c r="AB27" s="242">
        <f>+'Gain action'!K27*AB$3</f>
        <v>0.14401396015383314</v>
      </c>
      <c r="AC27" s="242">
        <f>+'Gain action'!L27*AC$3</f>
        <v>-1.3206254423292634E-2</v>
      </c>
      <c r="AD27" s="242">
        <f>+'Gain action'!M27*AD$3</f>
        <v>-8.7469998283913913E-2</v>
      </c>
      <c r="AE27" s="242">
        <f>+'Gain action'!N27*AE$3</f>
        <v>-1.6622021041858101E-2</v>
      </c>
      <c r="AF27" s="242">
        <f>+'Gain action'!O27*AF$3</f>
        <v>-6.3174570517603862E-2</v>
      </c>
      <c r="AG27" s="243">
        <f>+'Gain action'!P27*AG$3</f>
        <v>-5.7062309020797175E-2</v>
      </c>
      <c r="AH27" s="244">
        <f t="shared" si="6"/>
        <v>121.73918385888106</v>
      </c>
    </row>
    <row r="28" spans="1:34" s="236" customFormat="1" ht="12.75" x14ac:dyDescent="0.2">
      <c r="A28" s="237">
        <v>2027</v>
      </c>
      <c r="B28" s="142">
        <f>[1]Recap!$I20</f>
        <v>56.583843955076063</v>
      </c>
      <c r="C28" s="142">
        <f>[2]Recap!$I20</f>
        <v>44.564959811435152</v>
      </c>
      <c r="D28" s="142">
        <f>[3]Recap!$I20</f>
        <v>5.4345042051778591</v>
      </c>
      <c r="E28" s="142">
        <f>[4]Recap!$I20</f>
        <v>3.0572681411803653</v>
      </c>
      <c r="F28" s="142">
        <f>[5]Recap!$I20</f>
        <v>100.60544187069502</v>
      </c>
      <c r="G28" s="142">
        <f>[6]Recap!$I20</f>
        <v>12.809612659976167</v>
      </c>
      <c r="H28" s="142">
        <f>[7]Recap!$I20</f>
        <v>265.11372568633357</v>
      </c>
      <c r="I28" s="142">
        <f>[8]Recap!$I19</f>
        <v>130.87973948365808</v>
      </c>
      <c r="J28" s="142">
        <f>[9]Recap!$I19</f>
        <v>23.402720044289033</v>
      </c>
      <c r="K28" s="142">
        <f>[10]Recap!$I19</f>
        <v>1.3449556600976971</v>
      </c>
      <c r="L28" s="142">
        <f>[11]Recap!$I18</f>
        <v>2.1979649996958637</v>
      </c>
      <c r="M28" s="142">
        <f>[12]Recap!$I18</f>
        <v>20.307434597142752</v>
      </c>
      <c r="N28" s="142">
        <f>[13]Recap!$I18</f>
        <v>6.2998314677834006</v>
      </c>
      <c r="O28" s="142">
        <f>[14]Recap!$I16</f>
        <v>-0.59073574754364344</v>
      </c>
      <c r="P28" s="146">
        <f>[15]Recap!$I16</f>
        <v>-0.37576501754765701</v>
      </c>
      <c r="Q28" s="245">
        <f t="shared" si="5"/>
        <v>671.63550181744984</v>
      </c>
      <c r="R28" s="241">
        <v>2027</v>
      </c>
      <c r="S28" s="246">
        <f>+'Gain action'!B28*S$3</f>
        <v>13.121793413182139</v>
      </c>
      <c r="T28" s="246">
        <f>+'Gain action'!C28*T$3</f>
        <v>10.334614180271812</v>
      </c>
      <c r="U28" s="246">
        <f>+'Gain action'!D28*U$3</f>
        <v>1.2602615251807454</v>
      </c>
      <c r="V28" s="246">
        <f>+'Gain action'!E28*V$3</f>
        <v>0.70898048193972674</v>
      </c>
      <c r="W28" s="246">
        <f>+'Gain action'!F28*W$3</f>
        <v>23.330401969814172</v>
      </c>
      <c r="X28" s="246">
        <f>+'Gain action'!G28*X$3</f>
        <v>2.9705491758484732</v>
      </c>
      <c r="Y28" s="246">
        <f>+'Gain action'!H28*Y$3</f>
        <v>61.479872986660752</v>
      </c>
      <c r="Z28" s="246">
        <f>+'Gain action'!I28*Z$3</f>
        <v>26.175947896731618</v>
      </c>
      <c r="AA28" s="246">
        <f>+'Gain action'!J28*AA$3</f>
        <v>4.6805440088578072</v>
      </c>
      <c r="AB28" s="246">
        <f>+'Gain action'!K28*AB$3</f>
        <v>0.26899113201953945</v>
      </c>
      <c r="AC28" s="246">
        <f>+'Gain action'!L28*AC$3</f>
        <v>0.26529437546329077</v>
      </c>
      <c r="AD28" s="246">
        <f>+'Gain action'!M28*AD$3</f>
        <v>2.4511073558751302</v>
      </c>
      <c r="AE28" s="246">
        <f>+'Gain action'!N28*AE$3</f>
        <v>0.76038965816145643</v>
      </c>
      <c r="AF28" s="246">
        <f>+'Gain action'!O28*AF$3</f>
        <v>-6.4331122907502772E-2</v>
      </c>
      <c r="AG28" s="247">
        <f>+'Gain action'!P28*AG$3</f>
        <v>-5.7153859168998636E-2</v>
      </c>
      <c r="AH28" s="248">
        <f t="shared" si="6"/>
        <v>147.68726317793016</v>
      </c>
    </row>
    <row r="29" spans="1:34" s="236" customFormat="1" x14ac:dyDescent="0.2">
      <c r="A29" s="263" t="s">
        <v>57</v>
      </c>
      <c r="B29" s="165">
        <f t="shared" ref="B29:H29" si="7">SUM(B23:B28)</f>
        <v>131.58321177117534</v>
      </c>
      <c r="C29" s="165">
        <f t="shared" si="7"/>
        <v>108.77878481617239</v>
      </c>
      <c r="D29" s="165">
        <f t="shared" si="7"/>
        <v>14.486838310370754</v>
      </c>
      <c r="E29" s="165">
        <f t="shared" si="7"/>
        <v>7.1900809053112376</v>
      </c>
      <c r="F29" s="165">
        <f t="shared" si="7"/>
        <v>504.73937074076912</v>
      </c>
      <c r="G29" s="165">
        <f t="shared" si="7"/>
        <v>29.885402145305015</v>
      </c>
      <c r="H29" s="165">
        <f t="shared" si="7"/>
        <v>591.39114207811872</v>
      </c>
      <c r="I29" s="165">
        <f t="shared" ref="I29:P29" si="8">SUM(I25:I28)</f>
        <v>209.84405256493415</v>
      </c>
      <c r="J29" s="165">
        <f t="shared" si="8"/>
        <v>36.52853081245955</v>
      </c>
      <c r="K29" s="165">
        <f t="shared" si="8"/>
        <v>1.9857322812995601</v>
      </c>
      <c r="L29" s="165">
        <f t="shared" si="8"/>
        <v>1.9491840844790094</v>
      </c>
      <c r="M29" s="165">
        <f>SUM(M25:M28)</f>
        <v>18.744443693909812</v>
      </c>
      <c r="N29" s="165">
        <f t="shared" si="8"/>
        <v>6.0044940237156688</v>
      </c>
      <c r="O29" s="165">
        <f t="shared" si="8"/>
        <v>-1.7691789078112645</v>
      </c>
      <c r="P29" s="165">
        <f t="shared" si="8"/>
        <v>-1.1184995517557903</v>
      </c>
      <c r="Q29" s="245">
        <f t="shared" si="5"/>
        <v>1660.2235897684532</v>
      </c>
      <c r="R29" s="264" t="s">
        <v>57</v>
      </c>
      <c r="S29" s="265">
        <f t="shared" ref="S29:Y29" si="9">SUM(S23:S28)</f>
        <v>30.514146809735561</v>
      </c>
      <c r="T29" s="265">
        <f t="shared" si="9"/>
        <v>25.225800198870381</v>
      </c>
      <c r="U29" s="265">
        <f>SUM(U23:U28)</f>
        <v>3.3594978041749779</v>
      </c>
      <c r="V29" s="265">
        <f t="shared" si="9"/>
        <v>1.6673797619416761</v>
      </c>
      <c r="W29" s="265">
        <f t="shared" si="9"/>
        <v>117.04906007478438</v>
      </c>
      <c r="X29" s="265">
        <f t="shared" si="9"/>
        <v>6.9304247574962332</v>
      </c>
      <c r="Y29" s="265">
        <f t="shared" si="9"/>
        <v>137.14360584791569</v>
      </c>
      <c r="Z29" s="265">
        <f>SUM(Z24:Z28)</f>
        <v>41.883149274642818</v>
      </c>
      <c r="AA29" s="265">
        <f>SUM(AA24:AA28)</f>
        <v>7.1959247342265442</v>
      </c>
      <c r="AB29" s="265">
        <f>SUM(AB24:AB28)</f>
        <v>0.38889976744648397</v>
      </c>
      <c r="AC29" s="265">
        <f>SUM(AC23:AC28)</f>
        <v>0.22976210377693546</v>
      </c>
      <c r="AD29" s="265">
        <f>SUM(AD23:AD28)</f>
        <v>2.2065152225790423</v>
      </c>
      <c r="AE29" s="265">
        <f>SUM(AE23:AE28)</f>
        <v>0.72474242866248118</v>
      </c>
      <c r="AF29" s="265">
        <f>SUM(AF23:AF28)</f>
        <v>-0.19266358306064668</v>
      </c>
      <c r="AG29" s="265">
        <f>SUM(AG23:AG28)</f>
        <v>-0.17012378182205573</v>
      </c>
      <c r="AH29" s="265">
        <f t="shared" si="6"/>
        <v>374.15612142137053</v>
      </c>
    </row>
    <row r="30" spans="1:34" s="236" customFormat="1" x14ac:dyDescent="0.2">
      <c r="A30" s="19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83"/>
      <c r="AH30" s="266"/>
    </row>
    <row r="31" spans="1:34" s="267" customFormat="1" x14ac:dyDescent="0.2">
      <c r="A31" s="19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83"/>
      <c r="AH31" s="268"/>
    </row>
    <row r="32" spans="1:34" s="267" customFormat="1" x14ac:dyDescent="0.2">
      <c r="A32" s="19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83"/>
      <c r="R32" s="269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6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workbookViewId="0">
      <selection activeCell="M9" sqref="M9"/>
    </sheetView>
  </sheetViews>
  <sheetFormatPr baseColWidth="10" defaultRowHeight="15" x14ac:dyDescent="0.25"/>
  <cols>
    <col min="1" max="1" width="5.7109375" customWidth="1"/>
    <col min="2" max="16" width="8.42578125" style="2" customWidth="1"/>
    <col min="17" max="17" width="6" style="126" bestFit="1" customWidth="1"/>
    <col min="18" max="18" width="1.140625" customWidth="1"/>
    <col min="19" max="19" width="5.7109375" customWidth="1"/>
    <col min="20" max="26" width="8.42578125" style="2" customWidth="1"/>
    <col min="27" max="27" width="8.42578125" style="125" customWidth="1"/>
    <col min="28" max="29" width="8.42578125" style="2" customWidth="1"/>
    <col min="30" max="34" width="8.42578125" style="125" customWidth="1"/>
  </cols>
  <sheetData>
    <row r="1" spans="1:34" ht="18.75" x14ac:dyDescent="0.3">
      <c r="A1" s="1" t="s">
        <v>53</v>
      </c>
      <c r="Q1" s="124"/>
      <c r="S1" s="1" t="s">
        <v>54</v>
      </c>
    </row>
    <row r="2" spans="1:34" ht="7.5" customHeight="1" x14ac:dyDescent="0.3">
      <c r="A2" s="1"/>
      <c r="S2" s="1"/>
    </row>
    <row r="3" spans="1:34" ht="15.75" x14ac:dyDescent="0.25">
      <c r="A3" s="5" t="s">
        <v>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27"/>
      <c r="S3" s="5" t="s">
        <v>55</v>
      </c>
      <c r="T3" s="6"/>
      <c r="U3" s="6"/>
      <c r="V3" s="6"/>
      <c r="W3" s="6"/>
      <c r="X3" s="6"/>
      <c r="Y3" s="6"/>
      <c r="Z3" s="6"/>
      <c r="AB3" s="6"/>
      <c r="AC3" s="6"/>
    </row>
    <row r="4" spans="1:34" s="15" customFormat="1" ht="33.75" x14ac:dyDescent="0.2">
      <c r="A4" s="88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28" t="s">
        <v>56</v>
      </c>
      <c r="S4" s="11" t="s">
        <v>4</v>
      </c>
      <c r="T4" s="12" t="s">
        <v>5</v>
      </c>
      <c r="U4" s="12" t="s">
        <v>6</v>
      </c>
      <c r="V4" s="12" t="s">
        <v>7</v>
      </c>
      <c r="W4" s="12" t="s">
        <v>8</v>
      </c>
      <c r="X4" s="12" t="s">
        <v>9</v>
      </c>
      <c r="Y4" s="12" t="s">
        <v>10</v>
      </c>
      <c r="Z4" s="12" t="s">
        <v>11</v>
      </c>
      <c r="AA4" s="129" t="s">
        <v>12</v>
      </c>
      <c r="AB4" s="12" t="s">
        <v>13</v>
      </c>
      <c r="AC4" s="12" t="s">
        <v>14</v>
      </c>
      <c r="AD4" s="129" t="s">
        <v>15</v>
      </c>
      <c r="AE4" s="129" t="s">
        <v>16</v>
      </c>
      <c r="AF4" s="129" t="s">
        <v>17</v>
      </c>
      <c r="AG4" s="12" t="s">
        <v>18</v>
      </c>
      <c r="AH4" s="12" t="s">
        <v>19</v>
      </c>
    </row>
    <row r="5" spans="1:34" s="15" customFormat="1" ht="12.75" x14ac:dyDescent="0.2">
      <c r="A5" s="16">
        <v>2018</v>
      </c>
      <c r="B5" s="130">
        <f>[1]Recap!$C11</f>
        <v>104.45963514175737</v>
      </c>
      <c r="C5" s="130">
        <f>[1]Recap!$C11</f>
        <v>104.45963514175737</v>
      </c>
      <c r="D5" s="130">
        <f>[3]Recap!$C11</f>
        <v>36.932606393934712</v>
      </c>
      <c r="E5" s="130">
        <f>[4]Recap!$C11</f>
        <v>30.609239625815459</v>
      </c>
      <c r="F5" s="130">
        <f>[5]Recap!$C11</f>
        <v>33.012472000524284</v>
      </c>
      <c r="G5" s="130">
        <f>[6]Recap!$C11</f>
        <v>24.420032290291541</v>
      </c>
      <c r="H5" s="130">
        <f>[7]Recap!$C11</f>
        <v>30.231542956362031</v>
      </c>
      <c r="I5" s="130"/>
      <c r="J5" s="130"/>
      <c r="K5" s="130"/>
      <c r="L5" s="130"/>
      <c r="M5" s="130"/>
      <c r="N5" s="130"/>
      <c r="O5" s="130"/>
      <c r="P5" s="131"/>
      <c r="Q5" s="127">
        <f>SUM(B5:P5)</f>
        <v>364.12516355044278</v>
      </c>
      <c r="S5" s="16">
        <v>2018</v>
      </c>
      <c r="T5" s="132">
        <f>[1]Recap!$F35</f>
        <v>2.3139818916091848E-2</v>
      </c>
      <c r="U5" s="132">
        <f>[2]Recap!$F35</f>
        <v>1.3832790032349813E-2</v>
      </c>
      <c r="V5" s="132">
        <f>[3]Recap!$F35</f>
        <v>8.4529321930039529E-3</v>
      </c>
      <c r="W5" s="132">
        <f>[4]Recap!$F35</f>
        <v>6.6168115946364887E-3</v>
      </c>
      <c r="X5" s="132">
        <f>[5]Recap!$F35</f>
        <v>1.3078589487783501E-2</v>
      </c>
      <c r="Y5" s="132">
        <f>[6]Recap!$F35</f>
        <v>1.7658570172236029E-2</v>
      </c>
      <c r="Z5" s="132">
        <f>[7]Recap!$F35</f>
        <v>2.2103890041251059E-2</v>
      </c>
      <c r="AA5" s="132"/>
      <c r="AB5" s="130"/>
      <c r="AC5" s="130"/>
      <c r="AD5" s="132"/>
      <c r="AE5" s="132"/>
      <c r="AF5" s="132"/>
      <c r="AG5" s="132"/>
      <c r="AH5" s="133"/>
    </row>
    <row r="6" spans="1:34" s="15" customFormat="1" ht="12.75" x14ac:dyDescent="0.2">
      <c r="A6" s="16">
        <v>2019</v>
      </c>
      <c r="B6" s="130">
        <f>[1]Recap!$C12</f>
        <v>507.07282394770164</v>
      </c>
      <c r="C6" s="130">
        <f>[1]Recap!$C12</f>
        <v>507.07282394770164</v>
      </c>
      <c r="D6" s="130">
        <f>[3]Recap!$C12</f>
        <v>285.97822596912249</v>
      </c>
      <c r="E6" s="130">
        <f>[4]Recap!$C12</f>
        <v>253.32286439712462</v>
      </c>
      <c r="F6" s="130">
        <f>[5]Recap!$C12</f>
        <v>575.07137572209467</v>
      </c>
      <c r="G6" s="130">
        <f>[6]Recap!$C12</f>
        <v>601.13820574501779</v>
      </c>
      <c r="H6" s="130">
        <f>[7]Recap!$C12</f>
        <v>752.83976071819734</v>
      </c>
      <c r="I6" s="130">
        <f>[8]Recap!$C11</f>
        <v>129.71298858848573</v>
      </c>
      <c r="J6" s="130">
        <f>[9]Recap!$C11</f>
        <v>160.22566753486308</v>
      </c>
      <c r="K6" s="130">
        <f>[10]Recap!$C11</f>
        <v>180.06133510994408</v>
      </c>
      <c r="L6" s="130"/>
      <c r="M6" s="130"/>
      <c r="N6" s="130"/>
      <c r="O6" s="130"/>
      <c r="P6" s="134"/>
      <c r="Q6" s="127">
        <f t="shared" ref="Q6:Q15" si="0">SUM(B6:P6)</f>
        <v>3952.496071680253</v>
      </c>
      <c r="S6" s="16">
        <v>2019</v>
      </c>
      <c r="T6" s="132">
        <f>[1]Recap!$F36</f>
        <v>6.7281657117784069E-2</v>
      </c>
      <c r="U6" s="132">
        <f>[2]Recap!$F36</f>
        <v>4.64662655805008E-2</v>
      </c>
      <c r="V6" s="132">
        <f>[3]Recap!$F36</f>
        <v>2.4484271937245897E-2</v>
      </c>
      <c r="W6" s="132">
        <f>[4]Recap!$F36</f>
        <v>2.1318245012230778E-2</v>
      </c>
      <c r="X6" s="132">
        <f>[5]Recap!$F36</f>
        <v>5.469328384139921E-2</v>
      </c>
      <c r="Y6" s="132">
        <f>[6]Recap!$F36</f>
        <v>5.4861483830057303E-2</v>
      </c>
      <c r="Z6" s="132">
        <f>[7]Recap!$F36</f>
        <v>6.939554420740672E-2</v>
      </c>
      <c r="AA6" s="132">
        <f>[8]Recap!$F35</f>
        <v>1.2866445097281678E-2</v>
      </c>
      <c r="AB6" s="132">
        <f>[9]Recap!$F35</f>
        <v>1.5565898553265435E-2</v>
      </c>
      <c r="AC6" s="132">
        <f>[10]Recap!$F35</f>
        <v>1.7322603295289271E-2</v>
      </c>
      <c r="AD6" s="132"/>
      <c r="AE6" s="132"/>
      <c r="AF6" s="132"/>
      <c r="AG6" s="132"/>
      <c r="AH6" s="135"/>
    </row>
    <row r="7" spans="1:34" s="15" customFormat="1" ht="12.75" x14ac:dyDescent="0.2">
      <c r="A7" s="16">
        <v>2020</v>
      </c>
      <c r="B7" s="130">
        <f>[1]Recap!$C13</f>
        <v>741.96867869641869</v>
      </c>
      <c r="C7" s="130">
        <f>[1]Recap!$C13</f>
        <v>741.96867869641869</v>
      </c>
      <c r="D7" s="130">
        <f>[3]Recap!$C13</f>
        <v>455.92146644226523</v>
      </c>
      <c r="E7" s="130">
        <f>[4]Recap!$C13</f>
        <v>457.78952847373029</v>
      </c>
      <c r="F7" s="130">
        <f>[5]Recap!$C13</f>
        <v>992.19515441245949</v>
      </c>
      <c r="G7" s="130">
        <f>[6]Recap!$C13</f>
        <v>1052.335449772987</v>
      </c>
      <c r="H7" s="130">
        <f>[7]Recap!$C13</f>
        <v>1254.8570700330306</v>
      </c>
      <c r="I7" s="130">
        <f>[8]Recap!$C12</f>
        <v>366.89761327029095</v>
      </c>
      <c r="J7" s="130">
        <f>[9]Recap!$C12</f>
        <v>461.22295909605776</v>
      </c>
      <c r="K7" s="130">
        <f>[10]Recap!$C12</f>
        <v>512.71335922203446</v>
      </c>
      <c r="L7" s="130">
        <f>[11]Recap!$C11</f>
        <v>735.93705271694512</v>
      </c>
      <c r="M7" s="130">
        <f>[12]Recap!$C11</f>
        <v>527.34274757565163</v>
      </c>
      <c r="N7" s="130">
        <f>[13]Recap!$C11</f>
        <v>145.71079101358038</v>
      </c>
      <c r="O7" s="130"/>
      <c r="P7" s="134"/>
      <c r="Q7" s="127">
        <f t="shared" si="0"/>
        <v>8446.86054942187</v>
      </c>
      <c r="S7" s="16">
        <v>2020</v>
      </c>
      <c r="T7" s="132">
        <f>[1]Recap!$F37</f>
        <v>0.10342521867152105</v>
      </c>
      <c r="U7" s="132">
        <f>[2]Recap!$F37</f>
        <v>7.9871403999922944E-2</v>
      </c>
      <c r="V7" s="132">
        <f>[3]Recap!$F37</f>
        <v>4.0275122779894493E-2</v>
      </c>
      <c r="W7" s="132">
        <f>[4]Recap!$F37</f>
        <v>3.9995627830974871E-2</v>
      </c>
      <c r="X7" s="132">
        <f>[5]Recap!$F37</f>
        <v>9.9958663397224992E-2</v>
      </c>
      <c r="Y7" s="132">
        <f>[6]Recap!$F37</f>
        <v>0.10048154472285574</v>
      </c>
      <c r="Z7" s="132">
        <f>[7]Recap!$F37</f>
        <v>0.12538011900709539</v>
      </c>
      <c r="AA7" s="132">
        <f>[8]Recap!$F36</f>
        <v>3.2107379766274258E-2</v>
      </c>
      <c r="AB7" s="132">
        <f>[9]Recap!$F36</f>
        <v>4.0132050151129466E-2</v>
      </c>
      <c r="AC7" s="132">
        <f>[10]Recap!$F36</f>
        <v>4.4142983731602067E-2</v>
      </c>
      <c r="AD7" s="132">
        <f>[11]Recap!$F35</f>
        <v>1.5759589698497976E-2</v>
      </c>
      <c r="AE7" s="132">
        <f>[12]Recap!$F35</f>
        <v>1.1334393836478921E-2</v>
      </c>
      <c r="AF7" s="132">
        <f>[13]Recap!$F35</f>
        <v>5.6556228080375933E-3</v>
      </c>
      <c r="AG7" s="132"/>
      <c r="AH7" s="135"/>
    </row>
    <row r="8" spans="1:34" s="15" customFormat="1" ht="12.75" x14ac:dyDescent="0.2">
      <c r="A8" s="16">
        <v>2021</v>
      </c>
      <c r="B8" s="130">
        <f>[1]Recap!$C14</f>
        <v>398.89595030755072</v>
      </c>
      <c r="C8" s="130">
        <f>[2]Recap!$C14</f>
        <v>404.81144990838033</v>
      </c>
      <c r="D8" s="130">
        <f>[3]Recap!$C14</f>
        <v>249.67904070489021</v>
      </c>
      <c r="E8" s="130">
        <f>[4]Recap!$C14</f>
        <v>280.10141859979717</v>
      </c>
      <c r="F8" s="130">
        <f>[5]Recap!$C14</f>
        <v>608.24314989811069</v>
      </c>
      <c r="G8" s="130">
        <f>[6]Recap!$C14</f>
        <v>618.6689035315336</v>
      </c>
      <c r="H8" s="130">
        <f>[7]Recap!$C14</f>
        <v>829.68153110089884</v>
      </c>
      <c r="I8" s="130">
        <f>[8]Recap!$C13</f>
        <v>521.02846258409818</v>
      </c>
      <c r="J8" s="130">
        <f>[9]Recap!$C13</f>
        <v>744.45236324571476</v>
      </c>
      <c r="K8" s="130">
        <f>[10]Recap!$C13</f>
        <v>947.64458872461057</v>
      </c>
      <c r="L8" s="130">
        <f>[11]Recap!$C12</f>
        <v>1466.8051397519837</v>
      </c>
      <c r="M8" s="130">
        <f>[12]Recap!$C12</f>
        <v>1565.7682728162927</v>
      </c>
      <c r="N8" s="130">
        <f>[13]Recap!$C12</f>
        <v>559.08096936676816</v>
      </c>
      <c r="O8" s="130"/>
      <c r="P8" s="134"/>
      <c r="Q8" s="127">
        <f t="shared" si="0"/>
        <v>9194.8612405406311</v>
      </c>
      <c r="S8" s="16">
        <v>2021</v>
      </c>
      <c r="T8" s="132">
        <f>[1]Recap!$F38</f>
        <v>5.5010862046536435E-2</v>
      </c>
      <c r="U8" s="132">
        <f>[2]Recap!$F38</f>
        <v>3.6164232981732221E-2</v>
      </c>
      <c r="V8" s="132">
        <f>[3]Recap!$F38</f>
        <v>2.2240989009378057E-2</v>
      </c>
      <c r="W8" s="132">
        <f>[4]Recap!$F38</f>
        <v>2.4581160282345516E-2</v>
      </c>
      <c r="X8" s="132">
        <f>[5]Recap!$F38</f>
        <v>6.0469147073106723E-2</v>
      </c>
      <c r="Y8" s="132">
        <f>[6]Recap!$F38</f>
        <v>5.8568994388270339E-2</v>
      </c>
      <c r="Z8" s="132">
        <f>[7]Recap!$F38</f>
        <v>8.1942584275258884E-2</v>
      </c>
      <c r="AA8" s="132">
        <f>[8]Recap!$F37</f>
        <v>4.7782205151160759E-2</v>
      </c>
      <c r="AB8" s="132">
        <f>[9]Recap!$F37</f>
        <v>6.7892504425883932E-2</v>
      </c>
      <c r="AC8" s="132">
        <f>[10]Recap!$F37</f>
        <v>8.6648927570793649E-2</v>
      </c>
      <c r="AD8" s="132">
        <f>[11]Recap!$F36</f>
        <v>3.3637201482409493E-2</v>
      </c>
      <c r="AE8" s="132">
        <f>[12]Recap!$F36</f>
        <v>3.4448253049054745E-2</v>
      </c>
      <c r="AF8" s="132">
        <f>[13]Recap!$F36</f>
        <v>1.3083410656443382E-2</v>
      </c>
      <c r="AG8" s="132"/>
      <c r="AH8" s="135"/>
    </row>
    <row r="9" spans="1:34" s="43" customFormat="1" ht="12.75" x14ac:dyDescent="0.2">
      <c r="A9" s="136">
        <v>2022</v>
      </c>
      <c r="B9" s="137">
        <f>[1]Recap!$C15</f>
        <v>601.50009124311646</v>
      </c>
      <c r="C9" s="137">
        <f>[2]Recap!$C15</f>
        <v>804.52170422987354</v>
      </c>
      <c r="D9" s="137">
        <f>[3]Recap!$C15</f>
        <v>464.549706459432</v>
      </c>
      <c r="E9" s="137">
        <f>[4]Recap!$C15</f>
        <v>453.41658213095519</v>
      </c>
      <c r="F9" s="137">
        <f>[5]Recap!$C15</f>
        <v>1021.0171620185799</v>
      </c>
      <c r="G9" s="137">
        <f>[6]Recap!$C15</f>
        <v>983.35663543557212</v>
      </c>
      <c r="H9" s="137">
        <f>[7]Recap!$C15</f>
        <v>1332.513927471857</v>
      </c>
      <c r="I9" s="137">
        <f>[8]Recap!$C14</f>
        <v>370.34528678474152</v>
      </c>
      <c r="J9" s="137">
        <f>[9]Recap!$C14</f>
        <v>420.422114565426</v>
      </c>
      <c r="K9" s="137">
        <f>[10]Recap!$C14</f>
        <v>516.19061622073082</v>
      </c>
      <c r="L9" s="137">
        <f>[11]Recap!$C13</f>
        <v>1174.4658317506633</v>
      </c>
      <c r="M9" s="137">
        <f>[12]Recap!$C13</f>
        <v>949.76622722449974</v>
      </c>
      <c r="N9" s="137">
        <f>[13]Recap!$C13</f>
        <v>1793.3258118020576</v>
      </c>
      <c r="O9" s="137">
        <f>[14]Recap!$C11</f>
        <v>975.46900518979078</v>
      </c>
      <c r="P9" s="138">
        <f>[15]Recap!$C11</f>
        <v>171.33526937231565</v>
      </c>
      <c r="Q9" s="139">
        <f t="shared" si="0"/>
        <v>12032.195971899611</v>
      </c>
      <c r="S9" s="136">
        <v>2022</v>
      </c>
      <c r="T9" s="140">
        <f>[1]Recap!$F39</f>
        <v>8.2066513585501252E-2</v>
      </c>
      <c r="U9" s="140">
        <f>[2]Recap!$F39</f>
        <v>7.279463496866663E-2</v>
      </c>
      <c r="V9" s="140">
        <f>[3]Recap!$F39</f>
        <v>4.0878522946332305E-2</v>
      </c>
      <c r="W9" s="140">
        <f>[4]Recap!$F39</f>
        <v>3.9662066796877289E-2</v>
      </c>
      <c r="X9" s="140">
        <f>[5]Recap!$F39</f>
        <v>0.10553047200462641</v>
      </c>
      <c r="Y9" s="140">
        <f>[6]Recap!$F39</f>
        <v>9.150835972314636E-2</v>
      </c>
      <c r="Z9" s="140">
        <f>[7]Recap!$F39</f>
        <v>0.13209975019025294</v>
      </c>
      <c r="AA9" s="140">
        <f>[8]Recap!$F38</f>
        <v>3.1507888155670037E-2</v>
      </c>
      <c r="AB9" s="140">
        <f>[9]Recap!$F38</f>
        <v>3.555038745152693E-2</v>
      </c>
      <c r="AC9" s="140">
        <f>[10]Recap!$F38</f>
        <v>4.3468339145651673E-2</v>
      </c>
      <c r="AD9" s="140">
        <f>[11]Recap!$F37</f>
        <v>2.4124107549341148E-2</v>
      </c>
      <c r="AE9" s="140">
        <f>[12]Recap!$F37</f>
        <v>1.9945515546071518E-2</v>
      </c>
      <c r="AF9" s="140">
        <f>[13]Recap!$F37</f>
        <v>4.1707658943991616E-2</v>
      </c>
      <c r="AG9" s="140">
        <f>[14]Recap!$F35</f>
        <v>2.0742102046489776E-2</v>
      </c>
      <c r="AH9" s="141">
        <f>[15]Recap!$F35</f>
        <v>1.4934919672471136E-2</v>
      </c>
    </row>
    <row r="10" spans="1:34" s="43" customFormat="1" ht="12.75" x14ac:dyDescent="0.2">
      <c r="A10" s="33">
        <v>2023</v>
      </c>
      <c r="B10" s="142">
        <f>[1]Recap!$C16</f>
        <v>387.50196792127633</v>
      </c>
      <c r="C10" s="142">
        <f>[2]Recap!$C16</f>
        <v>1293.225169315383</v>
      </c>
      <c r="D10" s="142">
        <f>[3]Recap!$C16</f>
        <v>722.4916974460001</v>
      </c>
      <c r="E10" s="142">
        <f>[4]Recap!$C16</f>
        <v>704.36391703205175</v>
      </c>
      <c r="F10" s="142">
        <f>[5]Recap!$C16</f>
        <v>1401.5899832146465</v>
      </c>
      <c r="G10" s="142">
        <f>[6]Recap!$C16</f>
        <v>602.09598150062595</v>
      </c>
      <c r="H10" s="142">
        <f>[7]Recap!$C16</f>
        <v>783.43436576866236</v>
      </c>
      <c r="I10" s="142">
        <f>[8]Recap!$C15</f>
        <v>372.57200922752202</v>
      </c>
      <c r="J10" s="142">
        <f>[9]Recap!$C15</f>
        <v>471.61614147544458</v>
      </c>
      <c r="K10" s="142">
        <f>[10]Recap!$C15</f>
        <v>524.39575902871081</v>
      </c>
      <c r="L10" s="142">
        <f>[11]Recap!$C14</f>
        <v>2222.5776399522806</v>
      </c>
      <c r="M10" s="142">
        <f>[12]Recap!$C14</f>
        <v>1296.037651530314</v>
      </c>
      <c r="N10" s="142">
        <f>[13]Recap!$C14</f>
        <v>2425.7784217327257</v>
      </c>
      <c r="O10" s="142">
        <f>[14]Recap!$C12</f>
        <v>1804.2679485092444</v>
      </c>
      <c r="P10" s="143">
        <f>[15]Recap!$C12</f>
        <v>391.52247127308345</v>
      </c>
      <c r="Q10" s="142">
        <f t="shared" si="0"/>
        <v>15403.471124927974</v>
      </c>
      <c r="S10" s="33">
        <v>2023</v>
      </c>
      <c r="T10" s="144">
        <f>[1]Recap!$F40</f>
        <v>5.1425629705174454E-2</v>
      </c>
      <c r="U10" s="144">
        <f>[2]Recap!$F40</f>
        <v>0.1228458034572634</v>
      </c>
      <c r="V10" s="144">
        <f>[3]Recap!$F40</f>
        <v>6.5144012790875103E-2</v>
      </c>
      <c r="W10" s="144">
        <f>[4]Recap!$F40</f>
        <v>6.3078743363491133E-2</v>
      </c>
      <c r="X10" s="144">
        <f>[5]Recap!$F40</f>
        <v>0.15222052654672394</v>
      </c>
      <c r="Y10" s="144">
        <f>[6]Recap!$F40</f>
        <v>5.4088959422383433E-2</v>
      </c>
      <c r="Z10" s="144">
        <f>[7]Recap!$F40</f>
        <v>7.398457611035586E-2</v>
      </c>
      <c r="AA10" s="144">
        <f>[8]Recap!$F39</f>
        <v>3.178538648959349E-2</v>
      </c>
      <c r="AB10" s="144">
        <f>[9]Recap!$F39</f>
        <v>4.0086113650051408E-2</v>
      </c>
      <c r="AC10" s="144">
        <f>[10]Recap!$F39</f>
        <v>4.4205575929586169E-2</v>
      </c>
      <c r="AD10" s="144">
        <f>[11]Recap!$F38</f>
        <v>4.6685415333386535E-2</v>
      </c>
      <c r="AE10" s="144">
        <f>[12]Recap!$F38</f>
        <v>2.7452984461586064E-2</v>
      </c>
      <c r="AF10" s="144">
        <f>[13]Recap!$F38</f>
        <v>5.7276126569509769E-2</v>
      </c>
      <c r="AG10" s="144">
        <f>[14]Recap!$F36</f>
        <v>3.9068578461073221E-2</v>
      </c>
      <c r="AH10" s="145">
        <f>[15]Recap!$F36</f>
        <v>3.4815708367695798E-2</v>
      </c>
    </row>
    <row r="11" spans="1:34" s="43" customFormat="1" ht="12.75" x14ac:dyDescent="0.2">
      <c r="A11" s="33">
        <v>2024</v>
      </c>
      <c r="B11" s="142">
        <f>[1]Recap!$C17</f>
        <v>582.37149888789418</v>
      </c>
      <c r="C11" s="142">
        <f>[2]Recap!$C17</f>
        <v>551.42505104598888</v>
      </c>
      <c r="D11" s="142">
        <f>[3]Recap!$C17</f>
        <v>345.1392493368059</v>
      </c>
      <c r="E11" s="142">
        <f>[4]Recap!$C17</f>
        <v>333.96338443849078</v>
      </c>
      <c r="F11" s="142">
        <f>[5]Recap!$C17</f>
        <v>664.5160659565073</v>
      </c>
      <c r="G11" s="142">
        <f>[6]Recap!$C17</f>
        <v>895.79588528929253</v>
      </c>
      <c r="H11" s="142">
        <f>[7]Recap!$C17</f>
        <v>641.83461473031821</v>
      </c>
      <c r="I11" s="142">
        <f>[8]Recap!$C16</f>
        <v>252.66334395232218</v>
      </c>
      <c r="J11" s="142">
        <f>[9]Recap!$C16</f>
        <v>318.36283647833534</v>
      </c>
      <c r="K11" s="142">
        <f>[10]Recap!$C16</f>
        <v>368.38344697010638</v>
      </c>
      <c r="L11" s="142">
        <f>[11]Recap!$C15</f>
        <v>1281.4852331478157</v>
      </c>
      <c r="M11" s="142">
        <f>[12]Recap!$C15</f>
        <v>799.3419191269976</v>
      </c>
      <c r="N11" s="142">
        <f>[13]Recap!$C15</f>
        <v>789.79730380821081</v>
      </c>
      <c r="O11" s="142">
        <f>[14]Recap!$C13</f>
        <v>1042.1447930344912</v>
      </c>
      <c r="P11" s="143">
        <f>[15]Recap!$C13</f>
        <v>237.49236073322476</v>
      </c>
      <c r="Q11" s="142">
        <f t="shared" si="0"/>
        <v>9104.7169869368008</v>
      </c>
      <c r="S11" s="33">
        <v>2024</v>
      </c>
      <c r="T11" s="144">
        <f>[1]Recap!$F41</f>
        <v>7.9564127494990422E-2</v>
      </c>
      <c r="U11" s="144">
        <f>[2]Recap!$F41</f>
        <v>4.8788453744705293E-2</v>
      </c>
      <c r="V11" s="144">
        <f>[3]Recap!$F41</f>
        <v>3.0022953657557198E-2</v>
      </c>
      <c r="W11" s="144">
        <f>[4]Recap!$F41</f>
        <v>2.8876530483404713E-2</v>
      </c>
      <c r="X11" s="144">
        <f>[5]Recap!$F41</f>
        <v>6.6888419085404466E-2</v>
      </c>
      <c r="Y11" s="144">
        <f>[6]Recap!$F41</f>
        <v>8.2729150530739606E-2</v>
      </c>
      <c r="Z11" s="144">
        <f>[7]Recap!$F41</f>
        <v>6.0157163039219544E-2</v>
      </c>
      <c r="AA11" s="144">
        <f>[8]Recap!$F40</f>
        <v>2.1358984842367583E-2</v>
      </c>
      <c r="AB11" s="144">
        <f>[9]Recap!$F40</f>
        <v>2.6681600304808421E-2</v>
      </c>
      <c r="AC11" s="144">
        <f>[10]Recap!$F40</f>
        <v>3.0598409717992044E-2</v>
      </c>
      <c r="AD11" s="144">
        <f>[11]Recap!$F39</f>
        <v>2.6352010463640847E-2</v>
      </c>
      <c r="AE11" s="144">
        <f>[12]Recap!$F39</f>
        <v>1.6731841623370693E-2</v>
      </c>
      <c r="AF11" s="144">
        <f>[13]Recap!$F39</f>
        <v>1.7923128035705185E-2</v>
      </c>
      <c r="AG11" s="144">
        <f>[14]Recap!$F37</f>
        <v>2.2171767105474086E-2</v>
      </c>
      <c r="AH11" s="145">
        <f>[15]Recap!$F37</f>
        <v>2.0817257536095764E-2</v>
      </c>
    </row>
    <row r="12" spans="1:34" s="43" customFormat="1" ht="12.75" x14ac:dyDescent="0.2">
      <c r="A12" s="33">
        <v>2025</v>
      </c>
      <c r="B12" s="142">
        <f>[1]Recap!$C18</f>
        <v>380.40830207803373</v>
      </c>
      <c r="C12" s="142">
        <f>[2]Recap!$C18</f>
        <v>653.07793041667139</v>
      </c>
      <c r="D12" s="142">
        <f>[3]Recap!$C18</f>
        <v>452.88267972139681</v>
      </c>
      <c r="E12" s="142">
        <f>[4]Recap!$C18</f>
        <v>444.87830159402046</v>
      </c>
      <c r="F12" s="142">
        <f>[5]Recap!$C18</f>
        <v>847.6248401122208</v>
      </c>
      <c r="G12" s="142">
        <f>[6]Recap!$C18</f>
        <v>579.13263267529294</v>
      </c>
      <c r="H12" s="142">
        <f>[7]Recap!$C18</f>
        <v>1073.1270213794428</v>
      </c>
      <c r="I12" s="142">
        <f>[8]Recap!$C17</f>
        <v>366.30137558999587</v>
      </c>
      <c r="J12" s="142">
        <f>[9]Recap!$C17</f>
        <v>465.92144393799981</v>
      </c>
      <c r="K12" s="142">
        <f>[10]Recap!$C17</f>
        <v>581.09054169182377</v>
      </c>
      <c r="L12" s="142">
        <f>[11]Recap!$C16</f>
        <v>1951.022536257514</v>
      </c>
      <c r="M12" s="142">
        <f>[12]Recap!$C16</f>
        <v>1286.0218015527657</v>
      </c>
      <c r="N12" s="142">
        <f>[13]Recap!$C16</f>
        <v>837.2939126105673</v>
      </c>
      <c r="O12" s="142">
        <f>[14]Recap!$C14</f>
        <v>1740.6097990962335</v>
      </c>
      <c r="P12" s="143">
        <f>[15]Recap!$C14</f>
        <v>423.92866851651638</v>
      </c>
      <c r="Q12" s="142">
        <f t="shared" si="0"/>
        <v>12083.321787230496</v>
      </c>
      <c r="S12" s="33">
        <v>2025</v>
      </c>
      <c r="T12" s="144">
        <f>[1]Recap!$F42</f>
        <v>5.0341193677553138E-2</v>
      </c>
      <c r="U12" s="144">
        <f>[2]Recap!$F42</f>
        <v>5.8258389633921701E-2</v>
      </c>
      <c r="V12" s="144">
        <f>[3]Recap!$F42</f>
        <v>3.9839451575600704E-2</v>
      </c>
      <c r="W12" s="144">
        <f>[4]Recap!$F42</f>
        <v>3.8920718708471247E-2</v>
      </c>
      <c r="X12" s="144">
        <f>[5]Recap!$F42</f>
        <v>8.7930993475526395E-2</v>
      </c>
      <c r="Y12" s="144">
        <f>[6]Recap!$F42</f>
        <v>5.1933982117341217E-2</v>
      </c>
      <c r="Z12" s="144">
        <f>[7]Recap!$F42</f>
        <v>0.10367829988133177</v>
      </c>
      <c r="AA12" s="144">
        <f>[8]Recap!$F41</f>
        <v>3.1431843857374735E-2</v>
      </c>
      <c r="AB12" s="144">
        <f>[9]Recap!$F41</f>
        <v>3.9646627677721008E-2</v>
      </c>
      <c r="AC12" s="144">
        <f>[10]Recap!$F41</f>
        <v>4.9265981802900267E-2</v>
      </c>
      <c r="AD12" s="144">
        <f>[11]Recap!$F40</f>
        <v>4.0764164369185792E-2</v>
      </c>
      <c r="AE12" s="144">
        <f>[12]Recap!$F40</f>
        <v>2.7250142139553769E-2</v>
      </c>
      <c r="AF12" s="144">
        <f>[13]Recap!$F40</f>
        <v>1.9051638078232656E-2</v>
      </c>
      <c r="AG12" s="144">
        <f>[14]Recap!$F38</f>
        <v>3.766211751179558E-2</v>
      </c>
      <c r="AH12" s="145">
        <f>[15]Recap!$F38</f>
        <v>3.7848489454020445E-2</v>
      </c>
    </row>
    <row r="13" spans="1:34" s="43" customFormat="1" ht="12.75" x14ac:dyDescent="0.2">
      <c r="A13" s="33">
        <v>2026</v>
      </c>
      <c r="B13" s="142">
        <f>[1]Recap!$C19</f>
        <v>576.89975899913179</v>
      </c>
      <c r="C13" s="142">
        <f>[2]Recap!$C19</f>
        <v>411.62679083949178</v>
      </c>
      <c r="D13" s="142">
        <f>[3]Recap!$C19</f>
        <v>285.5943321702145</v>
      </c>
      <c r="E13" s="142">
        <f>[4]Recap!$C19</f>
        <v>275.73449651511783</v>
      </c>
      <c r="F13" s="142">
        <f>[5]Recap!$C19</f>
        <v>540.66388899829474</v>
      </c>
      <c r="G13" s="142">
        <f>[6]Recap!$C19</f>
        <v>880.41823354571852</v>
      </c>
      <c r="H13" s="142">
        <f>[7]Recap!$C19</f>
        <v>701.05621578851992</v>
      </c>
      <c r="I13" s="142">
        <f>[8]Recap!$C18</f>
        <v>248.59720444503657</v>
      </c>
      <c r="J13" s="142">
        <f>[9]Recap!$C18</f>
        <v>312.45462438789599</v>
      </c>
      <c r="K13" s="142">
        <f>[10]Recap!$C18</f>
        <v>373.96621391324351</v>
      </c>
      <c r="L13" s="142">
        <f>[11]Recap!$C17</f>
        <v>1210.6828169011928</v>
      </c>
      <c r="M13" s="142">
        <f>[12]Recap!$C17</f>
        <v>786.02005272177053</v>
      </c>
      <c r="N13" s="142">
        <f>[13]Recap!$C17</f>
        <v>472.98876533161427</v>
      </c>
      <c r="O13" s="142">
        <f>[14]Recap!$C15</f>
        <v>1120.4107346921624</v>
      </c>
      <c r="P13" s="143">
        <f>[15]Recap!$C15</f>
        <v>262.60004183279699</v>
      </c>
      <c r="Q13" s="142">
        <f t="shared" si="0"/>
        <v>8459.7141710822016</v>
      </c>
      <c r="S13" s="33">
        <v>2026</v>
      </c>
      <c r="T13" s="144">
        <f>[1]Recap!$F43</f>
        <v>7.8277586803458046E-2</v>
      </c>
      <c r="U13" s="144">
        <f>[2]Recap!$F43</f>
        <v>3.5903673950717009E-2</v>
      </c>
      <c r="V13" s="144">
        <f>[3]Recap!$F43</f>
        <v>2.4743024045581853E-2</v>
      </c>
      <c r="W13" s="144">
        <f>[4]Recap!$F43</f>
        <v>2.3754927818440158E-2</v>
      </c>
      <c r="X13" s="144">
        <f>[5]Recap!$F43</f>
        <v>5.4726557304590022E-2</v>
      </c>
      <c r="Y13" s="144">
        <f>[6]Recap!$F43</f>
        <v>8.131370579688188E-2</v>
      </c>
      <c r="Z13" s="144">
        <f>[7]Recap!$F43</f>
        <v>6.4662647515104241E-2</v>
      </c>
      <c r="AA13" s="144">
        <f>[8]Recap!$F42</f>
        <v>2.0952725664757348E-2</v>
      </c>
      <c r="AB13" s="144">
        <f>[9]Recap!$F42</f>
        <v>2.6195451984212619E-2</v>
      </c>
      <c r="AC13" s="144">
        <f>[10]Recap!$F42</f>
        <v>3.1138324862281009E-2</v>
      </c>
      <c r="AD13" s="144">
        <f>[11]Recap!$F41</f>
        <v>2.4902328634080022E-2</v>
      </c>
      <c r="AE13" s="144">
        <f>[12]Recap!$F41</f>
        <v>1.6482240542134194E-2</v>
      </c>
      <c r="AF13" s="144">
        <f>[13]Recap!$F41</f>
        <v>1.0673708133829691E-2</v>
      </c>
      <c r="AG13" s="144">
        <f>[14]Recap!$F39</f>
        <v>2.3921965715907895E-2</v>
      </c>
      <c r="AH13" s="145">
        <f>[15]Recap!$F39</f>
        <v>2.3117932587852073E-2</v>
      </c>
    </row>
    <row r="14" spans="1:34" s="43" customFormat="1" ht="12.75" x14ac:dyDescent="0.2">
      <c r="A14" s="33">
        <v>2027</v>
      </c>
      <c r="B14" s="142">
        <f>[1]Recap!$C20</f>
        <v>375.82559519174293</v>
      </c>
      <c r="C14" s="142">
        <f>[2]Recap!$C20</f>
        <v>642.38960327869893</v>
      </c>
      <c r="D14" s="142">
        <f>[3]Recap!$C20</f>
        <v>445.66795699331379</v>
      </c>
      <c r="E14" s="142">
        <f>[4]Recap!$C20</f>
        <v>437.81938448646571</v>
      </c>
      <c r="F14" s="142">
        <f>[5]Recap!$C20</f>
        <v>817.95903644571661</v>
      </c>
      <c r="G14" s="142">
        <f>[6]Recap!$C20</f>
        <v>569.41615752972882</v>
      </c>
      <c r="H14" s="142">
        <f>[7]Recap!$C20</f>
        <v>1058.2640986000511</v>
      </c>
      <c r="I14" s="142">
        <f>[8]Recap!$C19</f>
        <v>365.34324102073992</v>
      </c>
      <c r="J14" s="142">
        <f>[9]Recap!$C19</f>
        <v>460.41996331761078</v>
      </c>
      <c r="K14" s="142">
        <f>[10]Recap!$C19</f>
        <v>573.09064010814666</v>
      </c>
      <c r="L14" s="142">
        <f>[11]Recap!$C18</f>
        <v>1929.7772345224187</v>
      </c>
      <c r="M14" s="142">
        <f>[12]Recap!$C18</f>
        <v>1272.4878812365062</v>
      </c>
      <c r="N14" s="142">
        <f>[13]Recap!$C18</f>
        <v>832.32927847135284</v>
      </c>
      <c r="O14" s="142">
        <f>[14]Recap!$C16</f>
        <v>1654.7102946753485</v>
      </c>
      <c r="P14" s="146">
        <f>[15]Recap!$C16</f>
        <v>402.87449665479721</v>
      </c>
      <c r="Q14" s="142">
        <f t="shared" si="0"/>
        <v>11838.374862532637</v>
      </c>
      <c r="S14" s="33">
        <v>2027</v>
      </c>
      <c r="T14" s="144">
        <f>[1]Recap!$F44</f>
        <v>4.969310359291923E-2</v>
      </c>
      <c r="U14" s="144">
        <f>[2]Recap!$F44</f>
        <v>5.7321003313046619E-2</v>
      </c>
      <c r="V14" s="144">
        <f>[3]Recap!$F44</f>
        <v>3.9207064361289415E-2</v>
      </c>
      <c r="W14" s="144">
        <f>[4]Recap!$F44</f>
        <v>3.8302633587163952E-2</v>
      </c>
      <c r="X14" s="144">
        <f>[5]Recap!$F44</f>
        <v>8.6375008187878785E-2</v>
      </c>
      <c r="Y14" s="144">
        <f>[6]Recap!$F44</f>
        <v>5.1055840868942375E-2</v>
      </c>
      <c r="Z14" s="144">
        <f>[7]Recap!$F44</f>
        <v>0.10160586512646878</v>
      </c>
      <c r="AA14" s="144">
        <f>[8]Recap!$F43</f>
        <v>3.1003944317529782E-2</v>
      </c>
      <c r="AB14" s="144">
        <f>[9]Recap!$F43</f>
        <v>3.9098485202545483E-2</v>
      </c>
      <c r="AC14" s="144">
        <f>[10]Recap!$F43</f>
        <v>4.8581859903576961E-2</v>
      </c>
      <c r="AD14" s="144">
        <f>[11]Recap!$F42</f>
        <v>4.0318805607486734E-2</v>
      </c>
      <c r="AE14" s="144">
        <f>[12]Recap!$F42</f>
        <v>2.6955041682958682E-2</v>
      </c>
      <c r="AF14" s="144">
        <f>[13]Recap!$F42</f>
        <v>1.8938280893149757E-2</v>
      </c>
      <c r="AG14" s="144">
        <f>[14]Recap!$F40</f>
        <v>3.5759937142080027E-2</v>
      </c>
      <c r="AH14" s="147">
        <f>[15]Recap!$F40</f>
        <v>3.5942509594966414E-2</v>
      </c>
    </row>
    <row r="15" spans="1:34" s="150" customFormat="1" x14ac:dyDescent="0.25">
      <c r="A15" s="148" t="s">
        <v>57</v>
      </c>
      <c r="B15" s="149">
        <f>SUM(B5:B14)</f>
        <v>4656.904302414624</v>
      </c>
      <c r="C15" s="149">
        <f t="shared" ref="C15:P15" si="1">SUM(C5:C14)</f>
        <v>6114.5788368203666</v>
      </c>
      <c r="D15" s="149">
        <f>SUM(D5:D14)</f>
        <v>3744.8369616373757</v>
      </c>
      <c r="E15" s="149">
        <f t="shared" si="1"/>
        <v>3671.9991172935693</v>
      </c>
      <c r="F15" s="149">
        <f t="shared" si="1"/>
        <v>7501.8931287791556</v>
      </c>
      <c r="G15" s="149">
        <f t="shared" si="1"/>
        <v>6806.7781173160611</v>
      </c>
      <c r="H15" s="149">
        <f t="shared" si="1"/>
        <v>8457.8401485473405</v>
      </c>
      <c r="I15" s="149">
        <f t="shared" si="1"/>
        <v>2993.4615254632326</v>
      </c>
      <c r="J15" s="149">
        <f t="shared" si="1"/>
        <v>3815.0981140393483</v>
      </c>
      <c r="K15" s="149">
        <f t="shared" si="1"/>
        <v>4577.5365009893503</v>
      </c>
      <c r="L15" s="149">
        <f t="shared" si="1"/>
        <v>11972.753485000814</v>
      </c>
      <c r="M15" s="149">
        <f t="shared" si="1"/>
        <v>8482.7865537847993</v>
      </c>
      <c r="N15" s="149">
        <f t="shared" si="1"/>
        <v>7856.3052541368779</v>
      </c>
      <c r="O15" s="149">
        <f t="shared" si="1"/>
        <v>8337.6125751972722</v>
      </c>
      <c r="P15" s="149">
        <f t="shared" si="1"/>
        <v>1889.7533083827343</v>
      </c>
      <c r="Q15" s="127">
        <f t="shared" si="0"/>
        <v>90880.137929802921</v>
      </c>
      <c r="S15" s="148" t="s">
        <v>58</v>
      </c>
      <c r="T15" s="151">
        <f>AVERAGE(T5:T14)</f>
        <v>6.4022571161152994E-2</v>
      </c>
      <c r="U15" s="151">
        <f t="shared" ref="U15:AH15" si="2">AVERAGE(U5:U14)</f>
        <v>5.7224665166282641E-2</v>
      </c>
      <c r="V15" s="151">
        <f>AVERAGE(V5:V14)</f>
        <v>3.3528834529675901E-2</v>
      </c>
      <c r="W15" s="151">
        <f t="shared" si="2"/>
        <v>3.2510746547803622E-2</v>
      </c>
      <c r="X15" s="151">
        <f t="shared" si="2"/>
        <v>7.8187166040426442E-2</v>
      </c>
      <c r="Y15" s="151">
        <f t="shared" si="2"/>
        <v>6.4420059157285423E-2</v>
      </c>
      <c r="Z15" s="151">
        <f t="shared" si="2"/>
        <v>8.350104393937452E-2</v>
      </c>
      <c r="AA15" s="151">
        <f t="shared" si="2"/>
        <v>2.897742259355663E-2</v>
      </c>
      <c r="AB15" s="151">
        <f t="shared" si="2"/>
        <v>3.676101326679386E-2</v>
      </c>
      <c r="AC15" s="151">
        <f t="shared" si="2"/>
        <v>4.3930333995519238E-2</v>
      </c>
      <c r="AD15" s="151">
        <f t="shared" si="2"/>
        <v>3.1567952892253566E-2</v>
      </c>
      <c r="AE15" s="151">
        <f t="shared" si="2"/>
        <v>2.2575051610151071E-2</v>
      </c>
      <c r="AF15" s="151">
        <f t="shared" si="2"/>
        <v>2.3038696764862455E-2</v>
      </c>
      <c r="AG15" s="151">
        <f t="shared" si="2"/>
        <v>2.9887744663803433E-2</v>
      </c>
      <c r="AH15" s="151">
        <f t="shared" si="2"/>
        <v>2.7912802868850273E-2</v>
      </c>
    </row>
    <row r="16" spans="1:34" ht="7.5" customHeight="1" x14ac:dyDescent="0.3">
      <c r="A16" s="1"/>
      <c r="S16" s="1"/>
      <c r="AB16" s="125"/>
      <c r="AC16" s="125"/>
    </row>
    <row r="17" spans="1:34" ht="15.75" x14ac:dyDescent="0.25">
      <c r="A17" s="55" t="s">
        <v>59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27"/>
      <c r="S17" s="55" t="s">
        <v>59</v>
      </c>
      <c r="T17" s="6"/>
      <c r="U17" s="6"/>
      <c r="V17" s="6"/>
      <c r="W17" s="6"/>
      <c r="X17" s="6"/>
      <c r="Y17" s="6"/>
      <c r="Z17" s="6"/>
      <c r="AB17" s="125"/>
      <c r="AC17" s="125"/>
    </row>
    <row r="18" spans="1:34" s="15" customFormat="1" ht="33.75" x14ac:dyDescent="0.2">
      <c r="A18" s="88" t="s">
        <v>4</v>
      </c>
      <c r="B18" s="12" t="s">
        <v>5</v>
      </c>
      <c r="C18" s="12" t="s">
        <v>6</v>
      </c>
      <c r="D18" s="12" t="s">
        <v>7</v>
      </c>
      <c r="E18" s="12" t="s">
        <v>8</v>
      </c>
      <c r="F18" s="12" t="s">
        <v>9</v>
      </c>
      <c r="G18" s="12" t="s">
        <v>10</v>
      </c>
      <c r="H18" s="12" t="s">
        <v>11</v>
      </c>
      <c r="I18" s="12" t="s">
        <v>12</v>
      </c>
      <c r="J18" s="12" t="s">
        <v>13</v>
      </c>
      <c r="K18" s="12" t="s">
        <v>14</v>
      </c>
      <c r="L18" s="12" t="s">
        <v>15</v>
      </c>
      <c r="M18" s="12" t="s">
        <v>16</v>
      </c>
      <c r="N18" s="12" t="s">
        <v>17</v>
      </c>
      <c r="O18" s="12" t="s">
        <v>18</v>
      </c>
      <c r="P18" s="12" t="s">
        <v>19</v>
      </c>
      <c r="Q18" s="128" t="s">
        <v>56</v>
      </c>
      <c r="S18" s="11" t="s">
        <v>4</v>
      </c>
      <c r="T18" s="12" t="s">
        <v>5</v>
      </c>
      <c r="U18" s="12" t="s">
        <v>6</v>
      </c>
      <c r="V18" s="12" t="s">
        <v>7</v>
      </c>
      <c r="W18" s="12" t="s">
        <v>8</v>
      </c>
      <c r="X18" s="12" t="s">
        <v>9</v>
      </c>
      <c r="Y18" s="12" t="s">
        <v>10</v>
      </c>
      <c r="Z18" s="12" t="s">
        <v>11</v>
      </c>
      <c r="AA18" s="129" t="s">
        <v>12</v>
      </c>
      <c r="AB18" s="12" t="s">
        <v>13</v>
      </c>
      <c r="AC18" s="12" t="s">
        <v>14</v>
      </c>
      <c r="AD18" s="129" t="s">
        <v>15</v>
      </c>
      <c r="AE18" s="129" t="s">
        <v>16</v>
      </c>
      <c r="AF18" s="129" t="s">
        <v>17</v>
      </c>
      <c r="AG18" s="12" t="s">
        <v>18</v>
      </c>
      <c r="AH18" s="12" t="s">
        <v>19</v>
      </c>
    </row>
    <row r="19" spans="1:34" s="68" customFormat="1" ht="12.75" x14ac:dyDescent="0.2">
      <c r="A19" s="16">
        <v>2018</v>
      </c>
      <c r="B19" s="152">
        <f>[1]Recap!$D11</f>
        <v>5.6326408194618862</v>
      </c>
      <c r="C19" s="152">
        <f>[2]Recap!$D11</f>
        <v>1.6747213134869068</v>
      </c>
      <c r="D19" s="152">
        <f>[3]Recap!$D11</f>
        <v>0.21713339725458305</v>
      </c>
      <c r="E19" s="152">
        <f>[4]Recap!$D11</f>
        <v>6.5772109419627092E-2</v>
      </c>
      <c r="F19" s="152">
        <f>[5]Recap!$D11</f>
        <v>14.510032535976114</v>
      </c>
      <c r="G19" s="152">
        <f>[6]Recap!$D11</f>
        <v>0.29159888076333462</v>
      </c>
      <c r="H19" s="152">
        <f>[7]Recap!$D11</f>
        <v>4.3641226392145338</v>
      </c>
      <c r="I19" s="152"/>
      <c r="J19" s="152"/>
      <c r="K19" s="152"/>
      <c r="L19" s="152"/>
      <c r="M19" s="152"/>
      <c r="N19" s="152"/>
      <c r="O19" s="152"/>
      <c r="P19" s="153"/>
      <c r="Q19" s="127">
        <f t="shared" ref="Q19:Q29" si="3">SUM(B19:P19)</f>
        <v>26.756021695576983</v>
      </c>
      <c r="S19" s="16">
        <v>2018</v>
      </c>
      <c r="T19" s="154">
        <f>[1]Recap!$G35</f>
        <v>1.2194431717577506E-3</v>
      </c>
      <c r="U19" s="154">
        <f>[2]Recap!$G35</f>
        <v>2.9037155300816318E-4</v>
      </c>
      <c r="V19" s="154">
        <f>[3]Recap!$G35</f>
        <v>4.9278672711253576E-5</v>
      </c>
      <c r="W19" s="154">
        <f>[4]Recap!$G35</f>
        <v>1.4124309609182243E-5</v>
      </c>
      <c r="X19" s="154">
        <f>[5]Recap!$G35</f>
        <v>5.6741248073261946E-3</v>
      </c>
      <c r="Y19" s="154">
        <f>[6]Recap!$G35</f>
        <v>2.0719346269517224E-4</v>
      </c>
      <c r="Z19" s="154">
        <f>[7]Recap!$G35</f>
        <v>3.1216848880448013E-3</v>
      </c>
      <c r="AA19" s="154"/>
      <c r="AB19" s="154"/>
      <c r="AC19" s="154"/>
      <c r="AD19" s="154"/>
      <c r="AE19" s="154"/>
      <c r="AF19" s="154"/>
      <c r="AG19" s="154"/>
      <c r="AH19" s="155"/>
    </row>
    <row r="20" spans="1:34" s="68" customFormat="1" ht="12.75" x14ac:dyDescent="0.2">
      <c r="A20" s="16">
        <v>2019</v>
      </c>
      <c r="B20" s="152">
        <f>[1]Recap!$D12</f>
        <v>12.090446238296549</v>
      </c>
      <c r="C20" s="152">
        <f>[2]Recap!$D12</f>
        <v>6.4202606135542934</v>
      </c>
      <c r="D20" s="152">
        <f>[3]Recap!$D12</f>
        <v>1.0249109382217445</v>
      </c>
      <c r="E20" s="152">
        <f>[4]Recap!$D12</f>
        <v>0.25578101805789927</v>
      </c>
      <c r="F20" s="152">
        <f>[5]Recap!$D12</f>
        <v>53.007798701651765</v>
      </c>
      <c r="G20" s="152">
        <f>[6]Recap!$D12</f>
        <v>1.617449027860302</v>
      </c>
      <c r="H20" s="152">
        <f>[7]Recap!$D12</f>
        <v>19.247998604648451</v>
      </c>
      <c r="I20" s="152">
        <f>[8]Recap!$D11</f>
        <v>3.2119337313975511</v>
      </c>
      <c r="J20" s="152">
        <f>[9]Recap!$D11</f>
        <v>0.60385858000374271</v>
      </c>
      <c r="K20" s="152">
        <f>[10]Recap!$D11</f>
        <v>3.4087965084989458E-2</v>
      </c>
      <c r="L20" s="152"/>
      <c r="M20" s="152"/>
      <c r="N20" s="152"/>
      <c r="O20" s="152"/>
      <c r="P20" s="156"/>
      <c r="Q20" s="127">
        <f t="shared" si="3"/>
        <v>97.514525418777282</v>
      </c>
      <c r="S20" s="16">
        <v>2019</v>
      </c>
      <c r="T20" s="154">
        <f>[1]Recap!$G36</f>
        <v>1.5022125683998605E-3</v>
      </c>
      <c r="U20" s="154">
        <f>[2]Recap!$G36</f>
        <v>5.4181857619343932E-4</v>
      </c>
      <c r="V20" s="154">
        <f>[3]Recap!$G36</f>
        <v>8.5633961257515763E-5</v>
      </c>
      <c r="W20" s="154">
        <f>[4]Recap!$G36</f>
        <v>2.1072123509646572E-5</v>
      </c>
      <c r="X20" s="154">
        <f>[5]Recap!$G36</f>
        <v>4.7780923933976498E-3</v>
      </c>
      <c r="Y20" s="154">
        <f>[6]Recap!$G36</f>
        <v>1.3988011857535033E-4</v>
      </c>
      <c r="Z20" s="154">
        <f>[7]Recap!$G36</f>
        <v>1.6582951036481883E-3</v>
      </c>
      <c r="AA20" s="154">
        <f>[8]Recap!$G35</f>
        <v>3.1453563875371454E-4</v>
      </c>
      <c r="AB20" s="154">
        <f>[9]Recap!$G35</f>
        <v>5.7762563325848303E-5</v>
      </c>
      <c r="AC20" s="154">
        <f>[10]Recap!$G35</f>
        <v>3.2233820691782102E-6</v>
      </c>
      <c r="AD20" s="154"/>
      <c r="AE20" s="154"/>
      <c r="AF20" s="154"/>
      <c r="AG20" s="154"/>
      <c r="AH20" s="157"/>
    </row>
    <row r="21" spans="1:34" s="68" customFormat="1" ht="12.75" x14ac:dyDescent="0.2">
      <c r="A21" s="16">
        <v>2020</v>
      </c>
      <c r="B21" s="152">
        <f>[1]Recap!$D13</f>
        <v>21.143298543434643</v>
      </c>
      <c r="C21" s="152">
        <f>[2]Recap!$D13</f>
        <v>9.6003169398723021</v>
      </c>
      <c r="D21" s="152">
        <f>[3]Recap!$D13</f>
        <v>1.6939645180345639</v>
      </c>
      <c r="E21" s="152">
        <f>[4]Recap!$D13</f>
        <v>0.45840007211875244</v>
      </c>
      <c r="F21" s="152">
        <f>[5]Recap!$D13</f>
        <v>16.873442787422082</v>
      </c>
      <c r="G21" s="152">
        <f>[6]Recap!$D13</f>
        <v>2.7814559108141137</v>
      </c>
      <c r="H21" s="152">
        <f>[7]Recap!$D13</f>
        <v>39.134222916327836</v>
      </c>
      <c r="I21" s="152">
        <f>[8]Recap!$D12</f>
        <v>13.216261839278481</v>
      </c>
      <c r="J21" s="152">
        <f>[9]Recap!$D12</f>
        <v>2.2236812290549581</v>
      </c>
      <c r="K21" s="152">
        <f>[10]Recap!$D12</f>
        <v>9.5251793757527042E-2</v>
      </c>
      <c r="L21" s="152">
        <f>[11]Recap!$D11</f>
        <v>0.15389190729034352</v>
      </c>
      <c r="M21" s="152">
        <f>[12]Recap!$D11</f>
        <v>1.0861861353598061</v>
      </c>
      <c r="N21" s="152">
        <f>[13]Recap!$D11</f>
        <v>5.7103632068970088E-2</v>
      </c>
      <c r="O21" s="152"/>
      <c r="P21" s="156"/>
      <c r="Q21" s="127">
        <f t="shared" si="3"/>
        <v>108.51747822483439</v>
      </c>
      <c r="S21" s="16">
        <v>2020</v>
      </c>
      <c r="T21" s="154">
        <f>[1]Recap!$G37</f>
        <v>2.6665912239027963E-3</v>
      </c>
      <c r="U21" s="154">
        <f>[2]Recap!$G37</f>
        <v>8.2999836663269315E-4</v>
      </c>
      <c r="V21" s="154">
        <f>[3]Recap!$G37</f>
        <v>1.4375491578859137E-4</v>
      </c>
      <c r="W21" s="154">
        <f>[4]Recap!$G37</f>
        <v>3.8484404403528296E-5</v>
      </c>
      <c r="X21" s="154">
        <f>[5]Recap!$G37</f>
        <v>1.5426454339860583E-3</v>
      </c>
      <c r="Y21" s="154">
        <f>[6]Recap!$G37</f>
        <v>2.4097873419266335E-4</v>
      </c>
      <c r="Z21" s="154">
        <f>[7]Recap!$G37</f>
        <v>3.4682406213009079E-3</v>
      </c>
      <c r="AA21" s="154">
        <f>[8]Recap!$G36</f>
        <v>1.1202264653585653E-3</v>
      </c>
      <c r="AB21" s="154">
        <f>[9]Recap!$G36</f>
        <v>1.859496458260074E-4</v>
      </c>
      <c r="AC21" s="154">
        <f>[10]Recap!$G36</f>
        <v>7.8509157431903034E-6</v>
      </c>
      <c r="AD21" s="154">
        <f>[11]Recap!$G35</f>
        <v>3.2441714541030566E-6</v>
      </c>
      <c r="AE21" s="154">
        <f>[12]Recap!$G35</f>
        <v>2.3083285137382363E-5</v>
      </c>
      <c r="AF21" s="154">
        <f>[13]Recap!$G35</f>
        <v>2.2039383238643967E-6</v>
      </c>
      <c r="AG21" s="154"/>
      <c r="AH21" s="157"/>
    </row>
    <row r="22" spans="1:34" s="68" customFormat="1" ht="12.75" x14ac:dyDescent="0.2">
      <c r="A22" s="16">
        <v>2021</v>
      </c>
      <c r="B22" s="152">
        <f>[1]Recap!$D14</f>
        <v>25.362680897145037</v>
      </c>
      <c r="C22" s="152">
        <f>[2]Recap!$D14</f>
        <v>13.835903972977185</v>
      </c>
      <c r="D22" s="152">
        <f>[3]Recap!$D14</f>
        <v>2.2191368537490663</v>
      </c>
      <c r="E22" s="152">
        <f>[4]Recap!$D14</f>
        <v>0.65631323847225664</v>
      </c>
      <c r="F22" s="152">
        <f>[5]Recap!$D14</f>
        <v>49.561038207770075</v>
      </c>
      <c r="G22" s="152">
        <f>[6]Recap!$D14</f>
        <v>4.2146380529732044</v>
      </c>
      <c r="H22" s="152">
        <f>[7]Recap!$D14</f>
        <v>61.525349808578653</v>
      </c>
      <c r="I22" s="152">
        <f>[8]Recap!$D13</f>
        <v>21.123916244870063</v>
      </c>
      <c r="J22" s="152">
        <f>[9]Recap!$D13</f>
        <v>4.0582267976677597</v>
      </c>
      <c r="K22" s="152">
        <f>[10]Recap!$D13</f>
        <v>0.23705846887630638</v>
      </c>
      <c r="L22" s="152">
        <f>[11]Recap!$D12</f>
        <v>0.34106164481600015</v>
      </c>
      <c r="M22" s="152">
        <f>[12]Recap!$D12</f>
        <v>3.4964358605436994</v>
      </c>
      <c r="N22" s="152">
        <f>[13]Recap!$D12</f>
        <v>0.17284296914645852</v>
      </c>
      <c r="O22" s="152"/>
      <c r="P22" s="156"/>
      <c r="Q22" s="127">
        <f t="shared" si="3"/>
        <v>186.80460301758578</v>
      </c>
      <c r="S22" s="16">
        <v>2021</v>
      </c>
      <c r="T22" s="154">
        <f>[1]Recap!$G38</f>
        <v>3.3108722293765328E-3</v>
      </c>
      <c r="U22" s="154">
        <f>[2]Recap!$G38</f>
        <v>1.1918587898579105E-3</v>
      </c>
      <c r="V22" s="154">
        <f>[3]Recap!$G38</f>
        <v>1.9327389647250901E-4</v>
      </c>
      <c r="W22" s="154">
        <f>[4]Recap!$G38</f>
        <v>5.6181638145550227E-5</v>
      </c>
      <c r="X22" s="154">
        <f>[5]Recap!$G38</f>
        <v>4.636495295182395E-3</v>
      </c>
      <c r="Y22" s="154">
        <f>[6]Recap!$G38</f>
        <v>3.7640090516053489E-4</v>
      </c>
      <c r="Z22" s="154">
        <f>[7]Recap!$G38</f>
        <v>5.60567327824253E-3</v>
      </c>
      <c r="AA22" s="154">
        <f>[8]Recap!$G37</f>
        <v>1.8474161716085652E-3</v>
      </c>
      <c r="AB22" s="154">
        <f>[9]Recap!$G37</f>
        <v>3.4619307806434271E-4</v>
      </c>
      <c r="AC22" s="154">
        <f>[10]Recap!$G37</f>
        <v>1.9920389519697197E-5</v>
      </c>
      <c r="AD22" s="154">
        <f>[11]Recap!$G36</f>
        <v>7.5645239029497592E-6</v>
      </c>
      <c r="AE22" s="154">
        <f>[12]Recap!$G36</f>
        <v>7.4341265109159653E-5</v>
      </c>
      <c r="AF22" s="154">
        <f>[13]Recap!$G36</f>
        <v>3.9923631305330141E-6</v>
      </c>
      <c r="AG22" s="154"/>
      <c r="AH22" s="157"/>
    </row>
    <row r="23" spans="1:34" s="80" customFormat="1" ht="12.75" x14ac:dyDescent="0.2">
      <c r="A23" s="158">
        <v>2022</v>
      </c>
      <c r="B23" s="159">
        <f>[1]Recap!$D15</f>
        <v>34.696300770530115</v>
      </c>
      <c r="C23" s="159">
        <f>[2]Recap!$D15</f>
        <v>20.242296160219617</v>
      </c>
      <c r="D23" s="159">
        <f>[3]Recap!$D15</f>
        <v>3.1671333457043644</v>
      </c>
      <c r="E23" s="159">
        <f>[4]Recap!$D15</f>
        <v>1.0057182322818914</v>
      </c>
      <c r="F23" s="159">
        <f>[5]Recap!$D15</f>
        <v>18.831205611628359</v>
      </c>
      <c r="G23" s="159">
        <f>[6]Recap!$D15</f>
        <v>5.7501134260136242</v>
      </c>
      <c r="H23" s="159">
        <f>[7]Recap!$D15</f>
        <v>90.919867244884784</v>
      </c>
      <c r="I23" s="159">
        <f>[8]Recap!$D14</f>
        <v>38.390500227800452</v>
      </c>
      <c r="J23" s="159">
        <f>[9]Recap!$D14</f>
        <v>7.0923332059072832</v>
      </c>
      <c r="K23" s="159">
        <f>[10]Recap!$D14</f>
        <v>0.36553857003624107</v>
      </c>
      <c r="L23" s="159">
        <f>[11]Recap!$D13</f>
        <v>0.70026494547034457</v>
      </c>
      <c r="M23" s="159">
        <f>[12]Recap!$D13</f>
        <v>6.0117458091128331</v>
      </c>
      <c r="N23" s="159">
        <f>[13]Recap!$D13</f>
        <v>0.43633800334566664</v>
      </c>
      <c r="O23" s="159">
        <f>[14]Recap!$D11</f>
        <v>1.9670278367604659</v>
      </c>
      <c r="P23" s="160">
        <f>[15]Recap!$D11</f>
        <v>1.4252258981740151</v>
      </c>
      <c r="Q23" s="161">
        <f t="shared" si="3"/>
        <v>231.00160928787008</v>
      </c>
      <c r="S23" s="158">
        <v>2022</v>
      </c>
      <c r="T23" s="162">
        <f>[1]Recap!$G39</f>
        <v>4.3637206482691517E-3</v>
      </c>
      <c r="U23" s="162">
        <f>[2]Recap!$G39</f>
        <v>1.7034578592772934E-3</v>
      </c>
      <c r="V23" s="162">
        <f>[3]Recap!$G39</f>
        <v>2.6741741248463818E-4</v>
      </c>
      <c r="W23" s="162">
        <f>[4]Recap!$G39</f>
        <v>8.4511692811543247E-5</v>
      </c>
      <c r="X23" s="162">
        <f>[5]Recap!$G39</f>
        <v>1.7521278204901995E-3</v>
      </c>
      <c r="Y23" s="162">
        <f>[6]Recap!$G39</f>
        <v>4.8886297070358637E-4</v>
      </c>
      <c r="Z23" s="162">
        <f>[7]Recap!$G39</f>
        <v>7.9308235864891732E-3</v>
      </c>
      <c r="AA23" s="162">
        <f>[8]Recap!$G38</f>
        <v>3.1640702108862539E-3</v>
      </c>
      <c r="AB23" s="162">
        <f>[9]Recap!$G38</f>
        <v>5.7865315866421473E-4</v>
      </c>
      <c r="AC23" s="162">
        <f>[10]Recap!$G38</f>
        <v>2.9469959024322126E-5</v>
      </c>
      <c r="AD23" s="162">
        <f>[11]Recap!$G37</f>
        <v>1.4040121021726397E-5</v>
      </c>
      <c r="AE23" s="162">
        <f>[12]Recap!$G37</f>
        <v>1.2374153780807874E-4</v>
      </c>
      <c r="AF23" s="162">
        <f>[13]Recap!$G37</f>
        <v>9.7389982502581092E-6</v>
      </c>
      <c r="AG23" s="162">
        <f>[14]Recap!$G35</f>
        <v>4.0972298304039836E-5</v>
      </c>
      <c r="AH23" s="163">
        <f>[15]Recap!$G35</f>
        <v>1.224006221423847E-4</v>
      </c>
    </row>
    <row r="24" spans="1:34" s="80" customFormat="1" ht="12.75" x14ac:dyDescent="0.2">
      <c r="A24" s="33">
        <v>2023</v>
      </c>
      <c r="B24" s="142">
        <f>[1]Recap!$D16</f>
        <v>42.376819722787864</v>
      </c>
      <c r="C24" s="142">
        <f>[2]Recap!$D16</f>
        <v>24.496650103261722</v>
      </c>
      <c r="D24" s="142">
        <f>[3]Recap!$D16</f>
        <v>3.8592625157259541</v>
      </c>
      <c r="E24" s="142">
        <f>[4]Recap!$D16</f>
        <v>1.2907991316150889</v>
      </c>
      <c r="F24" s="142">
        <f>[5]Recap!$D16</f>
        <v>43.98652075143378</v>
      </c>
      <c r="G24" s="142">
        <f>[6]Recap!$D16</f>
        <v>7.7405210745535484</v>
      </c>
      <c r="H24" s="142">
        <f>[7]Recap!$D16</f>
        <v>129.15685783639898</v>
      </c>
      <c r="I24" s="142">
        <f>[8]Recap!$D15</f>
        <v>54.895981462206471</v>
      </c>
      <c r="J24" s="142">
        <f>[9]Recap!$D15</f>
        <v>10.085689591429711</v>
      </c>
      <c r="K24" s="142">
        <f>[10]Recap!$D15</f>
        <v>0.52883767263656112</v>
      </c>
      <c r="L24" s="142">
        <f>[11]Recap!$D14</f>
        <v>1.0071906962370942</v>
      </c>
      <c r="M24" s="142">
        <f>[12]Recap!$D14</f>
        <v>9.402003635634534</v>
      </c>
      <c r="N24" s="142">
        <f>[13]Recap!$D14</f>
        <v>0.77099288685729861</v>
      </c>
      <c r="O24" s="142">
        <f>[14]Recap!$D12</f>
        <v>5.3619392829272767</v>
      </c>
      <c r="P24" s="143">
        <f>[15]Recap!$D12</f>
        <v>3.6545299173692896</v>
      </c>
      <c r="Q24" s="142">
        <f t="shared" si="3"/>
        <v>338.61459628107514</v>
      </c>
      <c r="S24" s="33">
        <v>2023</v>
      </c>
      <c r="T24" s="144">
        <f>[1]Recap!$G40</f>
        <v>5.3377228414526945E-3</v>
      </c>
      <c r="U24" s="144">
        <f>[2]Recap!$G40</f>
        <v>2.0630059167740765E-3</v>
      </c>
      <c r="V24" s="144">
        <f>[3]Recap!$G40</f>
        <v>3.25891198840011E-4</v>
      </c>
      <c r="W24" s="144">
        <f>[4]Recap!$G40</f>
        <v>1.0847210587316191E-4</v>
      </c>
      <c r="X24" s="144">
        <f>[5]Recap!$G40</f>
        <v>4.110278415943777E-3</v>
      </c>
      <c r="Y24" s="144">
        <f>[6]Recap!$G40</f>
        <v>6.582449441285993E-4</v>
      </c>
      <c r="Z24" s="144">
        <f>[7]Recap!$G40</f>
        <v>1.132370418857786E-2</v>
      </c>
      <c r="AA24" s="144">
        <f>[8]Recap!$G39</f>
        <v>4.5346557147276506E-3</v>
      </c>
      <c r="AB24" s="144">
        <f>[9]Recap!$G39</f>
        <v>8.2321454909825109E-4</v>
      </c>
      <c r="AC24" s="144">
        <f>[10]Recap!$G39</f>
        <v>4.2636250276921024E-5</v>
      </c>
      <c r="AD24" s="144">
        <f>[11]Recap!$G38</f>
        <v>2.0194105168295374E-5</v>
      </c>
      <c r="AE24" s="144">
        <f>[12]Recap!$G38</f>
        <v>1.9372192116550845E-4</v>
      </c>
      <c r="AF24" s="144">
        <f>[13]Recap!$G38</f>
        <v>1.7208648368754982E-5</v>
      </c>
      <c r="AG24" s="144">
        <f>[14]Recap!$G36</f>
        <v>1.1169960918146003E-4</v>
      </c>
      <c r="AH24" s="145">
        <f>[15]Recap!$G36</f>
        <v>3.1395685764812179E-4</v>
      </c>
    </row>
    <row r="25" spans="1:34" s="80" customFormat="1" ht="12.75" x14ac:dyDescent="0.2">
      <c r="A25" s="33">
        <v>2024</v>
      </c>
      <c r="B25" s="142">
        <f>[1]Recap!$D17</f>
        <v>50.316078315463223</v>
      </c>
      <c r="C25" s="142">
        <f>[2]Recap!$D17</f>
        <v>33.13843318980647</v>
      </c>
      <c r="D25" s="142">
        <f>[3]Recap!$D17</f>
        <v>4.8235135779367502</v>
      </c>
      <c r="E25" s="142">
        <f>[4]Recap!$D17</f>
        <v>1.8070610430373073</v>
      </c>
      <c r="F25" s="142">
        <f>[5]Recap!$D17</f>
        <v>87.315172209802398</v>
      </c>
      <c r="G25" s="142">
        <f>[6]Recap!$D17</f>
        <v>9.4093565511440236</v>
      </c>
      <c r="H25" s="142">
        <f>[7]Recap!$D17</f>
        <v>173.13847877616277</v>
      </c>
      <c r="I25" s="142">
        <f>[8]Recap!$D16</f>
        <v>74.114754347727697</v>
      </c>
      <c r="J25" s="142">
        <f>[9]Recap!$D16</f>
        <v>13.854373674588581</v>
      </c>
      <c r="K25" s="142">
        <f>[10]Recap!$D16</f>
        <v>0.74589472411488977</v>
      </c>
      <c r="L25" s="142">
        <f>[11]Recap!$D15</f>
        <v>1.4499795897045988</v>
      </c>
      <c r="M25" s="142">
        <f>[12]Recap!$D15</f>
        <v>14.06975564295101</v>
      </c>
      <c r="N25" s="142">
        <f>[13]Recap!$D15</f>
        <v>1.6504768006708606</v>
      </c>
      <c r="O25" s="142">
        <f>[14]Recap!$D13</f>
        <v>9.22288290289295</v>
      </c>
      <c r="P25" s="143">
        <f>[15]Recap!$D13</f>
        <v>6.1664048973024128</v>
      </c>
      <c r="Q25" s="142">
        <f t="shared" si="3"/>
        <v>481.22261624330582</v>
      </c>
      <c r="S25" s="33">
        <v>2024</v>
      </c>
      <c r="T25" s="144">
        <f>[1]Recap!$G41</f>
        <v>6.3438887120093167E-3</v>
      </c>
      <c r="U25" s="144">
        <f>[2]Recap!$G41</f>
        <v>2.7891043179328382E-3</v>
      </c>
      <c r="V25" s="144">
        <f>[3]Recap!$G41</f>
        <v>4.0678201872511934E-4</v>
      </c>
      <c r="W25" s="144">
        <f>[4]Recap!$G41</f>
        <v>1.5165305617263752E-4</v>
      </c>
      <c r="X25" s="144">
        <f>[5]Recap!$G41</f>
        <v>8.1991864771610457E-3</v>
      </c>
      <c r="Y25" s="144">
        <f>[6]Recap!$G41</f>
        <v>7.9944041197932869E-4</v>
      </c>
      <c r="Z25" s="144">
        <f>[7]Recap!$G41</f>
        <v>1.5262353826757709E-2</v>
      </c>
      <c r="AA25" s="144">
        <f>[8]Recap!$G40</f>
        <v>6.1292978391206928E-3</v>
      </c>
      <c r="AB25" s="144">
        <f>[9]Recap!$G40</f>
        <v>1.1298015511237436E-3</v>
      </c>
      <c r="AC25" s="144">
        <f>[10]Recap!$G40</f>
        <v>6.0046757527139704E-5</v>
      </c>
      <c r="AD25" s="144">
        <f>[11]Recap!$G39</f>
        <v>2.9031881645074357E-5</v>
      </c>
      <c r="AE25" s="144">
        <f>[12]Recap!$G39</f>
        <v>2.8953188500604451E-4</v>
      </c>
      <c r="AF25" s="144">
        <f>[13]Recap!$G39</f>
        <v>3.6786802894367429E-5</v>
      </c>
      <c r="AG25" s="144">
        <f>[14]Recap!$G37</f>
        <v>1.9190190018385602E-4</v>
      </c>
      <c r="AH25" s="145">
        <f>[15]Recap!$G37</f>
        <v>5.293490480650356E-4</v>
      </c>
    </row>
    <row r="26" spans="1:34" s="80" customFormat="1" ht="12.75" x14ac:dyDescent="0.2">
      <c r="A26" s="33">
        <v>2025</v>
      </c>
      <c r="B26" s="142">
        <f>[1]Recap!$D18</f>
        <v>31.336953171703659</v>
      </c>
      <c r="C26" s="142">
        <f>[2]Recap!$D18</f>
        <v>7.3154626981524942</v>
      </c>
      <c r="D26" s="142">
        <f>[3]Recap!$D18</f>
        <v>1.1191523040830476</v>
      </c>
      <c r="E26" s="142">
        <f>[4]Recap!$D18</f>
        <v>0.5159293957786556</v>
      </c>
      <c r="F26" s="142">
        <f>[5]Recap!$D18</f>
        <v>130.63793754103833</v>
      </c>
      <c r="G26" s="142">
        <f>[6]Recap!$D18</f>
        <v>3.6846280548703958</v>
      </c>
      <c r="H26" s="142">
        <f>[7]Recap!$D18</f>
        <v>81.625800353609833</v>
      </c>
      <c r="I26" s="142">
        <f>[8]Recap!$D17</f>
        <v>95.212614382442325</v>
      </c>
      <c r="J26" s="142">
        <f>[9]Recap!$D17</f>
        <v>17.392129885482568</v>
      </c>
      <c r="K26" s="142">
        <f>[10]Recap!$D17</f>
        <v>0.94138425228202316</v>
      </c>
      <c r="L26" s="142">
        <f>[11]Recap!$D16</f>
        <v>1.8839625940513265</v>
      </c>
      <c r="M26" s="142">
        <f>[12]Recap!$D16</f>
        <v>19.178648567226304</v>
      </c>
      <c r="N26" s="142">
        <f>[13]Recap!$D16</f>
        <v>2.8246525200632959</v>
      </c>
      <c r="O26" s="142">
        <f>[14]Recap!$D14</f>
        <v>12.871730285426759</v>
      </c>
      <c r="P26" s="143">
        <f>[15]Recap!$D14</f>
        <v>8.3783139030311862</v>
      </c>
      <c r="Q26" s="142">
        <f t="shared" si="3"/>
        <v>414.91929990924228</v>
      </c>
      <c r="S26" s="33">
        <v>2025</v>
      </c>
      <c r="T26" s="144">
        <f>[1]Recap!$G42</f>
        <v>3.9370298683482959E-3</v>
      </c>
      <c r="U26" s="144">
        <f>[2]Recap!$G42</f>
        <v>6.1468027347207554E-4</v>
      </c>
      <c r="V26" s="144">
        <f>[3]Recap!$G42</f>
        <v>9.4472338122122789E-5</v>
      </c>
      <c r="W26" s="144">
        <f>[4]Recap!$G42</f>
        <v>4.3351525671541607E-5</v>
      </c>
      <c r="X26" s="144">
        <f>[5]Recap!$G42</f>
        <v>1.237219966084438E-2</v>
      </c>
      <c r="Y26" s="144">
        <f>[6]Recap!$G42</f>
        <v>3.131726327538643E-4</v>
      </c>
      <c r="Z26" s="144">
        <f>[7]Recap!$G42</f>
        <v>7.1049815867502784E-3</v>
      </c>
      <c r="AA26" s="144">
        <f>[8]Recap!$G41</f>
        <v>7.909942753469023E-3</v>
      </c>
      <c r="AB26" s="144">
        <f>[9]Recap!$G41</f>
        <v>1.4210092942616515E-3</v>
      </c>
      <c r="AC26" s="144">
        <f>[10]Recap!$G41</f>
        <v>7.5901530726097527E-5</v>
      </c>
      <c r="AD26" s="144">
        <f>[11]Recap!$G40</f>
        <v>3.777436970596553E-5</v>
      </c>
      <c r="AE26" s="144">
        <f>[12]Recap!$G40</f>
        <v>3.952629032063815E-4</v>
      </c>
      <c r="AF26" s="144">
        <f>[13]Recap!$G40</f>
        <v>6.3050977301506189E-5</v>
      </c>
      <c r="AG26" s="144">
        <f>[14]Recap!$G38</f>
        <v>2.6821129382192157E-4</v>
      </c>
      <c r="AH26" s="145">
        <f>[15]Recap!$G38</f>
        <v>7.2026292993363254E-4</v>
      </c>
    </row>
    <row r="27" spans="1:34" s="80" customFormat="1" ht="12.75" x14ac:dyDescent="0.2">
      <c r="A27" s="33">
        <v>2026</v>
      </c>
      <c r="B27" s="142">
        <f>[1]Recap!$D19</f>
        <v>14.219262379091784</v>
      </c>
      <c r="C27" s="142">
        <f>[2]Recap!$D19</f>
        <v>6.3425709979413663</v>
      </c>
      <c r="D27" s="142">
        <f>[3]Recap!$D19</f>
        <v>0.94850966746346832</v>
      </c>
      <c r="E27" s="142">
        <f>[4]Recap!$D19</f>
        <v>0.24093573263099266</v>
      </c>
      <c r="F27" s="142">
        <f>[5]Recap!$D19</f>
        <v>187.04999807773842</v>
      </c>
      <c r="G27" s="142">
        <f>[6]Recap!$D19</f>
        <v>1.5038038159316161</v>
      </c>
      <c r="H27" s="142">
        <f>[7]Recap!$D19</f>
        <v>19.562186154156937</v>
      </c>
      <c r="I27" s="142">
        <f>[8]Recap!$D18</f>
        <v>42.419645565598685</v>
      </c>
      <c r="J27" s="142">
        <f>[9]Recap!$D18</f>
        <v>6.9837291165411166</v>
      </c>
      <c r="K27" s="142">
        <f>[10]Recap!$D18</f>
        <v>0.45248326197172378</v>
      </c>
      <c r="L27" s="142">
        <f>[11]Recap!$D17</f>
        <v>2.4639004377773635</v>
      </c>
      <c r="M27" s="142">
        <f>[12]Recap!$D17</f>
        <v>25.936271343554342</v>
      </c>
      <c r="N27" s="142">
        <f>[13]Recap!$D17</f>
        <v>5.3464702826956456</v>
      </c>
      <c r="O27" s="142">
        <f>[14]Recap!$D15</f>
        <v>17.329589335993006</v>
      </c>
      <c r="P27" s="143">
        <f>[15]Recap!$D15</f>
        <v>11.153770528819951</v>
      </c>
      <c r="Q27" s="142">
        <f t="shared" si="3"/>
        <v>341.95312669790638</v>
      </c>
      <c r="S27" s="33">
        <v>2026</v>
      </c>
      <c r="T27" s="144">
        <f>[1]Recap!$G43</f>
        <v>1.7805555878053303E-3</v>
      </c>
      <c r="U27" s="144">
        <f>[2]Recap!$G43</f>
        <v>5.3281269262764103E-4</v>
      </c>
      <c r="V27" s="144">
        <f>[3]Recap!$G43</f>
        <v>8.0065343080383371E-5</v>
      </c>
      <c r="W27" s="144">
        <f>[4]Recap!$G43</f>
        <v>2.0244061216683945E-5</v>
      </c>
      <c r="X27" s="144">
        <f>[5]Recap!$G43</f>
        <v>1.786375029184728E-2</v>
      </c>
      <c r="Y27" s="144">
        <f>[6]Recap!$G43</f>
        <v>1.2777658567610122E-4</v>
      </c>
      <c r="Z27" s="144">
        <f>[7]Recap!$G43</f>
        <v>1.6876261002373618E-3</v>
      </c>
      <c r="AA27" s="144">
        <f>[8]Recap!$G42</f>
        <v>3.4980637830448122E-3</v>
      </c>
      <c r="AB27" s="144">
        <f>[9]Recap!$G42</f>
        <v>5.6977486210819733E-4</v>
      </c>
      <c r="AC27" s="144">
        <f>[10]Recap!$G42</f>
        <v>3.6479665644387118E-5</v>
      </c>
      <c r="AD27" s="144">
        <f>[11]Recap!$G41</f>
        <v>4.9403264515921016E-5</v>
      </c>
      <c r="AE27" s="144">
        <f>[12]Recap!$G41</f>
        <v>5.3470970193156991E-4</v>
      </c>
      <c r="AF27" s="144">
        <f>[13]Recap!$G41</f>
        <v>1.1935275057340771E-4</v>
      </c>
      <c r="AG27" s="144">
        <f>[14]Recap!$G39</f>
        <v>3.6115305029105161E-4</v>
      </c>
      <c r="AH27" s="145">
        <f>[15]Recap!$G39</f>
        <v>9.5922828815782791E-4</v>
      </c>
    </row>
    <row r="28" spans="1:34" s="80" customFormat="1" ht="12.75" x14ac:dyDescent="0.2">
      <c r="A28" s="33">
        <v>2027</v>
      </c>
      <c r="B28" s="142">
        <f>[1]Recap!$D20</f>
        <v>24.970954688778651</v>
      </c>
      <c r="C28" s="142">
        <f>[2]Recap!$D20</f>
        <v>10.265028237076271</v>
      </c>
      <c r="D28" s="142">
        <f>[3]Recap!$D20</f>
        <v>1.6038008653918667</v>
      </c>
      <c r="E28" s="142">
        <f>[4]Recap!$D20</f>
        <v>0.43572842946881185</v>
      </c>
      <c r="F28" s="142">
        <f>[5]Recap!$D20</f>
        <v>236.64850270614056</v>
      </c>
      <c r="G28" s="142">
        <f>[6]Recap!$D20</f>
        <v>2.7634404816783995</v>
      </c>
      <c r="H28" s="142">
        <f>[7]Recap!$D20</f>
        <v>37.976926550608241</v>
      </c>
      <c r="I28" s="142">
        <f>[8]Recap!$D19</f>
        <v>14.240524870115232</v>
      </c>
      <c r="J28" s="142">
        <f>[9]Recap!$D19</f>
        <v>2.2252050869718207</v>
      </c>
      <c r="K28" s="142">
        <f>[10]Recap!$D19</f>
        <v>0.11392886387391919</v>
      </c>
      <c r="L28" s="142">
        <f>[11]Recap!$D18</f>
        <v>0.69796728793223861</v>
      </c>
      <c r="M28" s="142">
        <f>[12]Recap!$D18</f>
        <v>11.873898798965781</v>
      </c>
      <c r="N28" s="142">
        <f>[13]Recap!$D18</f>
        <v>2.2799168773875924</v>
      </c>
      <c r="O28" s="142">
        <f>[14]Recap!$D16</f>
        <v>21.599011415632731</v>
      </c>
      <c r="P28" s="146">
        <f>[15]Recap!$D16</f>
        <v>13.749014531549955</v>
      </c>
      <c r="Q28" s="142">
        <f t="shared" si="3"/>
        <v>381.4438496915721</v>
      </c>
      <c r="S28" s="33">
        <v>2027</v>
      </c>
      <c r="T28" s="144">
        <f>[1]Recap!$G44</f>
        <v>3.1341299404630866E-3</v>
      </c>
      <c r="U28" s="144">
        <f>[2]Recap!$G44</f>
        <v>8.6277062377573745E-4</v>
      </c>
      <c r="V28" s="144">
        <f>[3]Recap!$G44</f>
        <v>1.353916123789096E-4</v>
      </c>
      <c r="W28" s="144">
        <f>[4]Recap!$G44</f>
        <v>3.6612076649969745E-5</v>
      </c>
      <c r="X28" s="144">
        <f>[5]Recap!$G44</f>
        <v>2.2814857327727641E-2</v>
      </c>
      <c r="Y28" s="144">
        <f>[6]Recap!$G44</f>
        <v>2.3484635883382098E-4</v>
      </c>
      <c r="Z28" s="144">
        <f>[7]Recap!$G44</f>
        <v>3.2861148727158871E-3</v>
      </c>
      <c r="AA28" s="144">
        <f>[8]Recap!$G43</f>
        <v>1.1699987555565637E-3</v>
      </c>
      <c r="AB28" s="144">
        <f>[9]Recap!$G43</f>
        <v>1.8143673452294411E-4</v>
      </c>
      <c r="AC28" s="144">
        <f>[10]Recap!$G43</f>
        <v>9.1846943967880396E-6</v>
      </c>
      <c r="AD28" s="144">
        <f>[11]Recap!$G42</f>
        <v>1.3994072367339286E-5</v>
      </c>
      <c r="AE28" s="144">
        <f>[12]Recap!$G42</f>
        <v>2.4463909178139688E-4</v>
      </c>
      <c r="AF28" s="144">
        <f>[13]Recap!$G42</f>
        <v>5.0890482231990656E-5</v>
      </c>
      <c r="AG28" s="144">
        <f>[14]Recap!$G40</f>
        <v>4.5019836037667573E-4</v>
      </c>
      <c r="AH28" s="147">
        <f>[15]Recap!$G40</f>
        <v>1.1828976983937064E-3</v>
      </c>
    </row>
    <row r="29" spans="1:34" s="68" customFormat="1" x14ac:dyDescent="0.25">
      <c r="A29" s="164" t="s">
        <v>57</v>
      </c>
      <c r="B29" s="165">
        <f t="shared" ref="B29:H29" si="4">SUM(B19:B28)</f>
        <v>262.14543554669342</v>
      </c>
      <c r="C29" s="165">
        <f t="shared" si="4"/>
        <v>133.33164422634863</v>
      </c>
      <c r="D29" s="165">
        <f>SUM(D19:D28)</f>
        <v>20.676517983565411</v>
      </c>
      <c r="E29" s="165">
        <f t="shared" si="4"/>
        <v>6.7324384028812831</v>
      </c>
      <c r="F29" s="165">
        <f t="shared" si="4"/>
        <v>838.42164913060185</v>
      </c>
      <c r="G29" s="165">
        <f t="shared" si="4"/>
        <v>39.757005276602563</v>
      </c>
      <c r="H29" s="165">
        <f t="shared" si="4"/>
        <v>656.6518108845911</v>
      </c>
      <c r="I29" s="165">
        <f>SUM(I21:I28)</f>
        <v>353.61419894003939</v>
      </c>
      <c r="J29" s="165">
        <f>SUM(J21:J28)</f>
        <v>63.91536858764379</v>
      </c>
      <c r="K29" s="165">
        <f>SUM(K21:K28)</f>
        <v>3.4803776075491912</v>
      </c>
      <c r="L29" s="165">
        <f>SUM(L23:L28)</f>
        <v>8.2032655511729669</v>
      </c>
      <c r="M29" s="165">
        <f>SUM(M23:M28)</f>
        <v>86.472323797444801</v>
      </c>
      <c r="N29" s="165">
        <f>SUM(N23:N28)</f>
        <v>13.308847371020359</v>
      </c>
      <c r="O29" s="165">
        <f t="shared" ref="O29:P29" si="5">SUM(O23:O28)</f>
        <v>68.352181059633182</v>
      </c>
      <c r="P29" s="165">
        <f t="shared" si="5"/>
        <v>44.527259676246814</v>
      </c>
      <c r="Q29" s="127">
        <f t="shared" si="3"/>
        <v>2599.5903240420348</v>
      </c>
      <c r="S29" s="164" t="s">
        <v>58</v>
      </c>
      <c r="T29" s="166">
        <f>AVERAGE(T19:T28)</f>
        <v>3.3596166791784814E-3</v>
      </c>
      <c r="U29" s="166">
        <f t="shared" ref="U29:AH29" si="6">AVERAGE(U19:U28)</f>
        <v>1.1419878969551871E-3</v>
      </c>
      <c r="V29" s="166">
        <f>AVERAGE(V19:V28)</f>
        <v>1.7819613698610541E-4</v>
      </c>
      <c r="W29" s="166">
        <f t="shared" si="6"/>
        <v>5.747069940634453E-5</v>
      </c>
      <c r="X29" s="166">
        <f t="shared" si="6"/>
        <v>8.3743757923906616E-3</v>
      </c>
      <c r="Y29" s="166">
        <f t="shared" si="6"/>
        <v>3.5867971246990218E-4</v>
      </c>
      <c r="Z29" s="166">
        <f t="shared" si="6"/>
        <v>6.0449498052764696E-3</v>
      </c>
      <c r="AA29" s="166">
        <f t="shared" si="6"/>
        <v>3.2986897036139822E-3</v>
      </c>
      <c r="AB29" s="166">
        <f t="shared" si="6"/>
        <v>5.8819949299946674E-4</v>
      </c>
      <c r="AC29" s="166">
        <f t="shared" si="6"/>
        <v>3.1634838325302361E-5</v>
      </c>
      <c r="AD29" s="166">
        <f t="shared" si="6"/>
        <v>2.1905813722671846E-5</v>
      </c>
      <c r="AE29" s="166">
        <f t="shared" si="6"/>
        <v>2.3487894889319026E-4</v>
      </c>
      <c r="AF29" s="166">
        <f t="shared" si="6"/>
        <v>3.7903120134335313E-5</v>
      </c>
      <c r="AG29" s="166">
        <f t="shared" si="6"/>
        <v>2.3735608535983412E-4</v>
      </c>
      <c r="AH29" s="166">
        <f t="shared" si="6"/>
        <v>6.3801590739011804E-4</v>
      </c>
    </row>
    <row r="30" spans="1:34" ht="7.5" customHeight="1" x14ac:dyDescent="0.3">
      <c r="A30" s="1"/>
      <c r="S30" s="1"/>
      <c r="AB30" s="125"/>
      <c r="AC30" s="125"/>
    </row>
    <row r="31" spans="1:34" ht="15.75" x14ac:dyDescent="0.25">
      <c r="A31" s="87" t="s">
        <v>60</v>
      </c>
      <c r="S31" s="87" t="s">
        <v>60</v>
      </c>
      <c r="AB31" s="125"/>
      <c r="AC31" s="125"/>
    </row>
    <row r="32" spans="1:34" s="15" customFormat="1" ht="33.75" x14ac:dyDescent="0.2">
      <c r="A32" s="88" t="s">
        <v>4</v>
      </c>
      <c r="B32" s="12" t="s">
        <v>5</v>
      </c>
      <c r="C32" s="12" t="s">
        <v>6</v>
      </c>
      <c r="D32" s="12" t="s">
        <v>7</v>
      </c>
      <c r="E32" s="12" t="s">
        <v>8</v>
      </c>
      <c r="F32" s="12" t="s">
        <v>9</v>
      </c>
      <c r="G32" s="12" t="s">
        <v>10</v>
      </c>
      <c r="H32" s="12" t="s">
        <v>11</v>
      </c>
      <c r="I32" s="12" t="s">
        <v>12</v>
      </c>
      <c r="J32" s="12" t="s">
        <v>13</v>
      </c>
      <c r="K32" s="12" t="s">
        <v>14</v>
      </c>
      <c r="L32" s="12" t="s">
        <v>15</v>
      </c>
      <c r="M32" s="12" t="s">
        <v>16</v>
      </c>
      <c r="N32" s="12" t="s">
        <v>17</v>
      </c>
      <c r="O32" s="12" t="s">
        <v>18</v>
      </c>
      <c r="P32" s="12" t="s">
        <v>19</v>
      </c>
      <c r="Q32" s="128" t="s">
        <v>56</v>
      </c>
      <c r="S32" s="11" t="s">
        <v>4</v>
      </c>
      <c r="T32" s="12" t="s">
        <v>5</v>
      </c>
      <c r="U32" s="12" t="s">
        <v>6</v>
      </c>
      <c r="V32" s="12" t="s">
        <v>7</v>
      </c>
      <c r="W32" s="12" t="s">
        <v>8</v>
      </c>
      <c r="X32" s="12" t="s">
        <v>9</v>
      </c>
      <c r="Y32" s="12" t="s">
        <v>10</v>
      </c>
      <c r="Z32" s="12" t="s">
        <v>11</v>
      </c>
      <c r="AA32" s="129" t="s">
        <v>12</v>
      </c>
      <c r="AB32" s="12" t="s">
        <v>13</v>
      </c>
      <c r="AC32" s="12" t="s">
        <v>14</v>
      </c>
      <c r="AD32" s="129" t="s">
        <v>15</v>
      </c>
      <c r="AE32" s="129" t="s">
        <v>16</v>
      </c>
      <c r="AF32" s="129" t="s">
        <v>17</v>
      </c>
      <c r="AG32" s="12" t="s">
        <v>18</v>
      </c>
      <c r="AH32" s="12" t="s">
        <v>19</v>
      </c>
    </row>
    <row r="33" spans="1:34" s="15" customFormat="1" ht="12.75" x14ac:dyDescent="0.2">
      <c r="A33" s="16">
        <v>2018</v>
      </c>
      <c r="B33" s="167">
        <f>'[1]2018'!Wh_Ppv</f>
        <v>12.355579314052193</v>
      </c>
      <c r="C33" s="167">
        <f>'[2]2018'!Wh_Ppv</f>
        <v>13.605324335426303</v>
      </c>
      <c r="D33" s="167">
        <f>'[3]2018'!Wh_Ppv</f>
        <v>11.277177908806152</v>
      </c>
      <c r="E33" s="167">
        <f>'[4]2018'!Wh_Ppv</f>
        <v>10.654230512674076</v>
      </c>
      <c r="F33" s="167">
        <f>'[5]2018'!Wh_Ppv</f>
        <v>4.1474955007734025</v>
      </c>
      <c r="G33" s="167">
        <f>'[6]2018'!Wh_Ppv</f>
        <v>3.1147507785951802</v>
      </c>
      <c r="H33" s="167">
        <f>'[7]2018'!Wh_Ppv</f>
        <v>3.0863772712791615</v>
      </c>
      <c r="I33" s="168"/>
      <c r="J33" s="168"/>
      <c r="K33" s="168"/>
      <c r="L33" s="168"/>
      <c r="M33" s="168"/>
      <c r="N33" s="168"/>
      <c r="O33" s="168"/>
      <c r="P33" s="169"/>
      <c r="Q33" s="127">
        <f t="shared" ref="Q33:Q42" si="7">SUM(B33:P33)</f>
        <v>58.240935621606468</v>
      </c>
      <c r="S33" s="16">
        <v>2018</v>
      </c>
      <c r="T33" s="170">
        <f>[1]Recap!$E35</f>
        <v>2.7445102515151168E-3</v>
      </c>
      <c r="U33" s="170">
        <f>[2]Recap!$E35</f>
        <v>2.3974021512186898E-3</v>
      </c>
      <c r="V33" s="170">
        <f>[3]Recap!$E35</f>
        <v>2.5877376710289469E-3</v>
      </c>
      <c r="W33" s="170">
        <f>[4]Recap!$E35</f>
        <v>2.3084459283426715E-3</v>
      </c>
      <c r="X33" s="170">
        <f>[5]Recap!$E35</f>
        <v>1.6458224044681514E-3</v>
      </c>
      <c r="Y33" s="170">
        <f>[6]Recap!$E35</f>
        <v>2.2574174806909626E-3</v>
      </c>
      <c r="Z33" s="170">
        <f>[7]Recap!$E35</f>
        <v>2.2617185136911489E-3</v>
      </c>
      <c r="AA33" s="171"/>
      <c r="AB33" s="171"/>
      <c r="AC33" s="171"/>
      <c r="AD33" s="171"/>
      <c r="AE33" s="171"/>
      <c r="AF33" s="171"/>
      <c r="AG33" s="171"/>
      <c r="AH33" s="172"/>
    </row>
    <row r="34" spans="1:34" s="15" customFormat="1" ht="12.75" x14ac:dyDescent="0.2">
      <c r="A34" s="16">
        <v>2019</v>
      </c>
      <c r="B34" s="167">
        <f>'[1]2019'!Wh_Ppv</f>
        <v>70.443593428278291</v>
      </c>
      <c r="C34" s="167">
        <f>'[2]2019'!Wh_Ppv</f>
        <v>97.534114424604923</v>
      </c>
      <c r="D34" s="167">
        <f>'[3]2019'!Wh_Ppv</f>
        <v>99.340815579875198</v>
      </c>
      <c r="E34" s="167">
        <f>'[4]2019'!Wh_Ppv</f>
        <v>98.77463814363</v>
      </c>
      <c r="F34" s="167">
        <f>'[5]2019'!Wh_Ppv</f>
        <v>79.38384149174999</v>
      </c>
      <c r="G34" s="167">
        <f>'[6]2019'!Wh_Ppv</f>
        <v>83.01545922456171</v>
      </c>
      <c r="H34" s="167">
        <f>'[7]2019'!Wh_Ppv</f>
        <v>81.938693449063067</v>
      </c>
      <c r="I34" s="167">
        <f>'[8]2019'!Wh_Ppv</f>
        <v>35.758964163449491</v>
      </c>
      <c r="J34" s="167">
        <f>'[9]2019'!Wh_Ppv</f>
        <v>35.107345778133094</v>
      </c>
      <c r="K34" s="167">
        <f>'[10]2019'!Wh_Ppv</f>
        <v>32.63562161381742</v>
      </c>
      <c r="L34" s="167"/>
      <c r="M34" s="167"/>
      <c r="N34" s="167"/>
      <c r="O34" s="167"/>
      <c r="P34" s="173"/>
      <c r="Q34" s="127">
        <f t="shared" si="7"/>
        <v>713.93308729716318</v>
      </c>
      <c r="S34" s="16">
        <v>2019</v>
      </c>
      <c r="T34" s="170">
        <f>[1]Recap!$E36</f>
        <v>9.4350942996907078E-3</v>
      </c>
      <c r="U34" s="170">
        <f>[2]Recap!$E36</f>
        <v>8.691787015430141E-3</v>
      </c>
      <c r="V34" s="170">
        <f>[3]Recap!$E36</f>
        <v>8.5781075074727754E-3</v>
      </c>
      <c r="W34" s="170">
        <f>[4]Recap!$E36</f>
        <v>8.3819987309747424E-3</v>
      </c>
      <c r="X34" s="170">
        <f>[5]Recap!$E36</f>
        <v>7.6073903967093714E-3</v>
      </c>
      <c r="Y34" s="170">
        <f>[6]Recap!$E36</f>
        <v>7.6340505023062251E-3</v>
      </c>
      <c r="Z34" s="170">
        <f>[7]Recap!$E36</f>
        <v>7.610457035857404E-3</v>
      </c>
      <c r="AA34" s="170">
        <f>[8]Recap!$E35</f>
        <v>3.5596165102353854E-3</v>
      </c>
      <c r="AB34" s="170">
        <f>[9]Recap!$E35</f>
        <v>3.4223456565418034E-3</v>
      </c>
      <c r="AC34" s="170">
        <f>[10]Recap!$E35</f>
        <v>3.1495627912824331E-3</v>
      </c>
      <c r="AD34" s="170"/>
      <c r="AE34" s="170"/>
      <c r="AF34" s="170"/>
      <c r="AG34" s="170"/>
      <c r="AH34" s="174"/>
    </row>
    <row r="35" spans="1:34" s="15" customFormat="1" ht="12.75" x14ac:dyDescent="0.2">
      <c r="A35" s="16">
        <v>2020</v>
      </c>
      <c r="B35" s="167">
        <f>'[1]2020'!Wh_Ppv</f>
        <v>123.80787121146386</v>
      </c>
      <c r="C35" s="167">
        <f>'[2]2020'!Wh_Ppv</f>
        <v>176.98408528951586</v>
      </c>
      <c r="D35" s="167">
        <f>'[3]2020'!Wh_Ppv</f>
        <v>185.62870582959113</v>
      </c>
      <c r="E35" s="167">
        <f>'[4]2020'!Wh_Ppv</f>
        <v>185.50430684100138</v>
      </c>
      <c r="F35" s="167">
        <f>'[5]2020'!Wh_Ppv</f>
        <v>193.6466379014837</v>
      </c>
      <c r="G35" s="167">
        <f>'[6]2020'!Wh_Ppv</f>
        <v>167.18169118171863</v>
      </c>
      <c r="H35" s="167">
        <f>'[7]2020'!Wh_Ppv</f>
        <v>159.45843053011595</v>
      </c>
      <c r="I35" s="167">
        <f>'[8]2020'!Wh_Ppv</f>
        <v>115.47808310310756</v>
      </c>
      <c r="J35" s="167">
        <f>'[9]2020'!Wh_Ppv</f>
        <v>114.8578763951009</v>
      </c>
      <c r="K35" s="167">
        <f>'[10]2020'!Wh_Ppv</f>
        <v>112.73743496705174</v>
      </c>
      <c r="L35" s="167">
        <f>'[11]2020'!Wh_Ppv</f>
        <v>174.61724272811989</v>
      </c>
      <c r="M35" s="167">
        <f>'[12]2020'!Wh_Ppv</f>
        <v>163.67482860564633</v>
      </c>
      <c r="N35" s="167">
        <f>'[13]2020'!Wh_Ppv</f>
        <v>39.294647503702436</v>
      </c>
      <c r="O35" s="167"/>
      <c r="P35" s="173"/>
      <c r="Q35" s="127">
        <f t="shared" si="7"/>
        <v>1912.8718420876194</v>
      </c>
      <c r="S35" s="16">
        <v>2020</v>
      </c>
      <c r="T35" s="170">
        <f>[1]Recap!$E37</f>
        <v>1.7561014078621512E-2</v>
      </c>
      <c r="U35" s="170">
        <f>[2]Recap!$E37</f>
        <v>1.6822207052419276E-2</v>
      </c>
      <c r="V35" s="170">
        <f>[3]Recap!$E37</f>
        <v>1.6671419666160758E-2</v>
      </c>
      <c r="W35" s="170">
        <f>[4]Recap!$E37</f>
        <v>1.6473918027598417E-2</v>
      </c>
      <c r="X35" s="170">
        <f>[5]Recap!$E37</f>
        <v>1.9897094110880215E-2</v>
      </c>
      <c r="Y35" s="170">
        <f>[6]Recap!$E37</f>
        <v>1.6222190251212267E-2</v>
      </c>
      <c r="Z35" s="170">
        <f>[7]Recap!$E37</f>
        <v>1.6190377660076076E-2</v>
      </c>
      <c r="AA35" s="170">
        <f>[8]Recap!$E36</f>
        <v>1.0208704922166845E-2</v>
      </c>
      <c r="AB35" s="170">
        <f>[9]Recap!$E36</f>
        <v>1.0094932119871306E-2</v>
      </c>
      <c r="AC35" s="170">
        <f>[10]Recap!$E36</f>
        <v>9.8014696424478989E-3</v>
      </c>
      <c r="AD35" s="170">
        <f>[11]Recap!$E35</f>
        <v>3.7533439879971929E-3</v>
      </c>
      <c r="AE35" s="170">
        <f>[12]Recap!$E35</f>
        <v>3.5303497068894557E-3</v>
      </c>
      <c r="AF35" s="170">
        <f>[13]Recap!$E35</f>
        <v>1.5275133097847489E-3</v>
      </c>
      <c r="AG35" s="170"/>
      <c r="AH35" s="174"/>
    </row>
    <row r="36" spans="1:34" s="15" customFormat="1" ht="12.75" x14ac:dyDescent="0.2">
      <c r="A36" s="16">
        <v>2021</v>
      </c>
      <c r="B36" s="167">
        <f>'[1]2021'!Wh_Ppv</f>
        <v>182.61258547714806</v>
      </c>
      <c r="C36" s="167">
        <f>'[2]2021'!Wh_Ppv</f>
        <v>274.30454854463824</v>
      </c>
      <c r="D36" s="167">
        <f>'[3]2021'!Wh_Ppv</f>
        <v>266.3803493750911</v>
      </c>
      <c r="E36" s="167">
        <f>'[4]2021'!Wh_Ppv</f>
        <v>274.86827197253479</v>
      </c>
      <c r="F36" s="167">
        <f>'[5]2021'!Wh_Ppv</f>
        <v>356.56539381578477</v>
      </c>
      <c r="G36" s="167">
        <f>'[6]2021'!Wh_Ppv</f>
        <v>257.48080975731318</v>
      </c>
      <c r="H36" s="167">
        <f>'[7]2021'!Wh_Ppv</f>
        <v>246.60500400489036</v>
      </c>
      <c r="I36" s="167">
        <f>'[8]2021'!Wh_Ppv</f>
        <v>185.92643981699075</v>
      </c>
      <c r="J36" s="167">
        <f>'[9]2021'!Wh_Ppv</f>
        <v>185.66778992785657</v>
      </c>
      <c r="K36" s="167">
        <f>'[10]2021'!Wh_Ppv</f>
        <v>182.13516275789334</v>
      </c>
      <c r="L36" s="167">
        <f>'[11]2021'!Wh_Ppv</f>
        <v>399.28117612332426</v>
      </c>
      <c r="M36" s="167">
        <f>'[12]2021'!Wh_Ppv</f>
        <v>394.36574493862281</v>
      </c>
      <c r="N36" s="167">
        <f>'[13]2021'!Wh_Ppv</f>
        <v>172.57184267759294</v>
      </c>
      <c r="O36" s="167"/>
      <c r="P36" s="173"/>
      <c r="Q36" s="127">
        <f t="shared" si="7"/>
        <v>3378.7651191896812</v>
      </c>
      <c r="S36" s="16">
        <v>2021</v>
      </c>
      <c r="T36" s="170">
        <f>[1]Recap!$E38</f>
        <v>2.5834302827776726E-2</v>
      </c>
      <c r="U36" s="170">
        <f>[2]Recap!$E38</f>
        <v>2.5120862823189982E-2</v>
      </c>
      <c r="V36" s="170">
        <f>[3]Recap!$E38</f>
        <v>2.4305450568618988E-2</v>
      </c>
      <c r="W36" s="170">
        <f>[4]Recap!$E38</f>
        <v>2.4718158610383706E-2</v>
      </c>
      <c r="X36" s="170">
        <f>[5]Recap!$E38</f>
        <v>3.6751097312847009E-2</v>
      </c>
      <c r="Y36" s="170">
        <f>[6]Recap!$E38</f>
        <v>2.4984557883716511E-2</v>
      </c>
      <c r="Z36" s="170">
        <f>[7]Recap!$E38</f>
        <v>2.4963679292763781E-2</v>
      </c>
      <c r="AA36" s="170">
        <f>[8]Recap!$E37</f>
        <v>1.7346618992825434E-2</v>
      </c>
      <c r="AB36" s="170">
        <f>[9]Recap!$E37</f>
        <v>1.72241640195442E-2</v>
      </c>
      <c r="AC36" s="170">
        <f>[10]Recap!$E37</f>
        <v>1.6935773159675226E-2</v>
      </c>
      <c r="AD36" s="170">
        <f>[11]Recap!$E36</f>
        <v>9.2410469144759769E-3</v>
      </c>
      <c r="AE36" s="170">
        <f>[12]Recap!$E36</f>
        <v>8.7523252311577596E-3</v>
      </c>
      <c r="AF36" s="170">
        <f>[13]Recap!$E36</f>
        <v>4.0548391740790118E-3</v>
      </c>
      <c r="AG36" s="170"/>
      <c r="AH36" s="174"/>
    </row>
    <row r="37" spans="1:34" s="43" customFormat="1" ht="12.75" x14ac:dyDescent="0.2">
      <c r="A37" s="136">
        <v>2022</v>
      </c>
      <c r="B37" s="175">
        <f>'[1]2022'!Wh_Ppv</f>
        <v>237.68976977509919</v>
      </c>
      <c r="C37" s="175">
        <f>'[2]2022'!Wh_Ppv</f>
        <v>353.7677886955953</v>
      </c>
      <c r="D37" s="175">
        <f>'[3]2022'!Wh_Ppv</f>
        <v>348.72497652425955</v>
      </c>
      <c r="E37" s="175">
        <f>'[4]2022'!Wh_Ppv</f>
        <v>364.47232747548878</v>
      </c>
      <c r="F37" s="175">
        <f>'[5]2022'!Wh_Ppv</f>
        <v>464.66729413232497</v>
      </c>
      <c r="G37" s="175">
        <f>'[6]2022'!Wh_Ppv</f>
        <v>346.63525833777385</v>
      </c>
      <c r="H37" s="175">
        <f>'[7]2022'!Wh_Ppv</f>
        <v>325.41676796126012</v>
      </c>
      <c r="I37" s="175">
        <f>'[8]2022'!Wh_Ppv</f>
        <v>274.90880984406976</v>
      </c>
      <c r="J37" s="175">
        <f>'[9]2022'!Wh_Ppv</f>
        <v>277.68692906999786</v>
      </c>
      <c r="K37" s="175">
        <f>'[10]2022'!Wh_Ppv</f>
        <v>280.42706538638959</v>
      </c>
      <c r="L37" s="175">
        <f>'[11]2022'!Wh_Ppv</f>
        <v>702.78449145479681</v>
      </c>
      <c r="M37" s="175">
        <f>'[12]2022'!Wh_Ppv</f>
        <v>754.27648881426285</v>
      </c>
      <c r="N37" s="175">
        <f>'[13]2022'!Wh_Ppv</f>
        <v>293.54489498129988</v>
      </c>
      <c r="O37" s="175">
        <f>'[14]2022'!Wh_Ppv</f>
        <v>230.38563798453106</v>
      </c>
      <c r="P37" s="176">
        <f>'[15]2022'!Wh_Ppv</f>
        <v>32.230269487068654</v>
      </c>
      <c r="Q37" s="139">
        <f t="shared" si="7"/>
        <v>5287.6187699242182</v>
      </c>
      <c r="S37" s="136">
        <v>2022</v>
      </c>
      <c r="T37" s="177">
        <f>[1]Recap!$E39</f>
        <v>3.3516462519325232E-2</v>
      </c>
      <c r="U37" s="177">
        <f>[2]Recap!$E39</f>
        <v>3.3068068815850199E-2</v>
      </c>
      <c r="V37" s="177">
        <f>[3]Recap!$E39</f>
        <v>3.1657874740773459E-2</v>
      </c>
      <c r="W37" s="177">
        <f>[4]Recap!$E39</f>
        <v>3.293169673192823E-2</v>
      </c>
      <c r="X37" s="177">
        <f>[5]Recap!$E39</f>
        <v>5.0450141408478283E-2</v>
      </c>
      <c r="Y37" s="177">
        <f>[6]Recap!$E39</f>
        <v>3.3332076055731241E-2</v>
      </c>
      <c r="Z37" s="177">
        <f>[7]Recap!$E39</f>
        <v>3.3335860331915448E-2</v>
      </c>
      <c r="AA37" s="177">
        <f>[8]Recap!$E38</f>
        <v>2.3948552408587873E-2</v>
      </c>
      <c r="AB37" s="177">
        <f>[9]Recap!$E38</f>
        <v>2.404548100932373E-2</v>
      </c>
      <c r="AC37" s="177">
        <f>[10]Recap!$E38</f>
        <v>2.4185866259582075E-2</v>
      </c>
      <c r="AD37" s="177">
        <f>[11]Recap!$E37</f>
        <v>1.4646977165567246E-2</v>
      </c>
      <c r="AE37" s="177">
        <f>[12]Recap!$E37</f>
        <v>1.6095092179960354E-2</v>
      </c>
      <c r="AF37" s="177">
        <f>[13]Recap!$E37</f>
        <v>6.8739481214382487E-3</v>
      </c>
      <c r="AG37" s="177">
        <f>[14]Recap!$E35</f>
        <v>4.9229731676435412E-3</v>
      </c>
      <c r="AH37" s="178">
        <f>[15]Recap!$E35</f>
        <v>2.8173571074794528E-3</v>
      </c>
    </row>
    <row r="38" spans="1:34" s="43" customFormat="1" ht="12.75" x14ac:dyDescent="0.2">
      <c r="A38" s="33">
        <v>2023</v>
      </c>
      <c r="B38" s="142">
        <f>'[1]2023'!Wh_Ppv</f>
        <v>306.42488839603266</v>
      </c>
      <c r="C38" s="142">
        <f>'[2]2023'!Wh_Ppv</f>
        <v>420.47709376854255</v>
      </c>
      <c r="D38" s="142">
        <f>'[3]2023'!Wh_Ppv</f>
        <v>428.05366464512372</v>
      </c>
      <c r="E38" s="142">
        <f>'[4]2023'!Wh_Ppv</f>
        <v>442.13024859849975</v>
      </c>
      <c r="F38" s="142">
        <f>'[5]2023'!Wh_Ppv</f>
        <v>569.31868770173605</v>
      </c>
      <c r="G38" s="142">
        <f>'[6]2023'!Wh_Ppv</f>
        <v>454.82392490551501</v>
      </c>
      <c r="H38" s="142">
        <f>'[7]2023'!Wh_Ppv</f>
        <v>431.64007493498502</v>
      </c>
      <c r="I38" s="142">
        <f>'[8]2023'!Wh_Ppv</f>
        <v>360.34240474428407</v>
      </c>
      <c r="J38" s="142">
        <f>'[9]2023'!Wh_Ppv</f>
        <v>360.35462775598717</v>
      </c>
      <c r="K38" s="142">
        <f>'[10]2023'!Wh_Ppv</f>
        <v>360.13658362470233</v>
      </c>
      <c r="L38" s="142">
        <f>'[11]2023'!Wh_Ppv</f>
        <v>952.29420159237634</v>
      </c>
      <c r="M38" s="142">
        <f>'[12]2023'!Wh_Ppv</f>
        <v>1002.2905698728791</v>
      </c>
      <c r="N38" s="142">
        <f>'[13]2023'!Wh_Ppv</f>
        <v>423.72357510639267</v>
      </c>
      <c r="O38" s="142">
        <f>'[14]2023'!Wh_Ppv</f>
        <v>427.66160677756125</v>
      </c>
      <c r="P38" s="143">
        <f>'[15]2023'!Wh_Ppv</f>
        <v>89.402927962277317</v>
      </c>
      <c r="Q38" s="142">
        <f t="shared" si="7"/>
        <v>7029.075080386895</v>
      </c>
      <c r="S38" s="33">
        <v>2023</v>
      </c>
      <c r="T38" s="144">
        <f>[1]Recap!$E40</f>
        <v>4.238965023913327E-2</v>
      </c>
      <c r="U38" s="144">
        <f>[2]Recap!$E40</f>
        <v>4.1603607836952265E-2</v>
      </c>
      <c r="V38" s="144">
        <f>[3]Recap!$E40</f>
        <v>4.014522011221569E-2</v>
      </c>
      <c r="W38" s="144">
        <f>[4]Recap!$E40</f>
        <v>4.1226985106052987E-2</v>
      </c>
      <c r="X38" s="144">
        <f>[5]Recap!$E40</f>
        <v>6.5906263224592171E-2</v>
      </c>
      <c r="Y38" s="144">
        <f>[6]Recap!$E40</f>
        <v>4.2599419210042545E-2</v>
      </c>
      <c r="Z38" s="144">
        <f>[7]Recap!$E40</f>
        <v>4.2494640742911545E-2</v>
      </c>
      <c r="AA38" s="144">
        <f>[8]Recap!$E39</f>
        <v>3.1717085110119093E-2</v>
      </c>
      <c r="AB38" s="144">
        <f>[9]Recap!$E39</f>
        <v>3.1596971231931885E-2</v>
      </c>
      <c r="AC38" s="144">
        <f>[10]Recap!$E39</f>
        <v>3.1309351963344639E-2</v>
      </c>
      <c r="AD38" s="144">
        <f>[11]Recap!$E38</f>
        <v>2.0411300928935828E-2</v>
      </c>
      <c r="AE38" s="144">
        <f>[12]Recap!$E38</f>
        <v>2.1691284915900871E-2</v>
      </c>
      <c r="AF38" s="144">
        <f>[13]Recap!$E38</f>
        <v>1.0105830681227191E-2</v>
      </c>
      <c r="AG38" s="144">
        <f>[14]Recap!$E36</f>
        <v>9.346893388342558E-3</v>
      </c>
      <c r="AH38" s="145">
        <f>[15]Recap!$E36</f>
        <v>8.0137676919729874E-3</v>
      </c>
    </row>
    <row r="39" spans="1:34" s="43" customFormat="1" ht="12.75" x14ac:dyDescent="0.2">
      <c r="A39" s="33">
        <v>2024</v>
      </c>
      <c r="B39" s="142">
        <f>'[1]2024'!Wh_Ppv</f>
        <v>353.23754323080266</v>
      </c>
      <c r="C39" s="142">
        <f>'[2]2024'!Wh_Ppv</f>
        <v>538.66874381412345</v>
      </c>
      <c r="D39" s="142">
        <f>'[3]2024'!Wh_Ppv</f>
        <v>532.09335864367313</v>
      </c>
      <c r="E39" s="142">
        <f>'[4]2024'!Wh_Ppv</f>
        <v>546.87431531959373</v>
      </c>
      <c r="F39" s="142">
        <f>'[5]2024'!Wh_Ppv</f>
        <v>695.68072353085881</v>
      </c>
      <c r="G39" s="142">
        <f>'[6]2024'!Wh_Ppv</f>
        <v>529.71040385975357</v>
      </c>
      <c r="H39" s="142">
        <f>'[7]2024'!Wh_Ppv</f>
        <v>522.06735187380582</v>
      </c>
      <c r="I39" s="142">
        <f>'[8]2024'!Wh_Ppv</f>
        <v>443.84060584033796</v>
      </c>
      <c r="J39" s="142">
        <f>'[9]2024'!Wh_Ppv</f>
        <v>446.41548876689558</v>
      </c>
      <c r="K39" s="142">
        <f>'[10]2024'!Wh_Ppv</f>
        <v>447.29349036398889</v>
      </c>
      <c r="L39" s="142">
        <f>'[11]2024'!Wh_Ppv</f>
        <v>1235.203405792352</v>
      </c>
      <c r="M39" s="142">
        <f>'[12]2024'!Wh_Ppv</f>
        <v>1268.4227990654472</v>
      </c>
      <c r="N39" s="142">
        <f>'[13]2024'!Wh_Ppv</f>
        <v>572.01571824974235</v>
      </c>
      <c r="O39" s="142">
        <f>'[14]2024'!Wh_Ppv</f>
        <v>667.98288100415084</v>
      </c>
      <c r="P39" s="143">
        <f>'[15]2024'!Wh_Ppv</f>
        <v>147.22236744888323</v>
      </c>
      <c r="Q39" s="142">
        <f t="shared" si="7"/>
        <v>8946.7291968044101</v>
      </c>
      <c r="S39" s="33">
        <v>2024</v>
      </c>
      <c r="T39" s="144">
        <f>[1]Recap!$E41</f>
        <v>5.0706724751364035E-2</v>
      </c>
      <c r="U39" s="144">
        <f>[2]Recap!$E41</f>
        <v>5.0044946306068094E-2</v>
      </c>
      <c r="V39" s="144">
        <f>[3]Recap!$E41</f>
        <v>4.8532047364579563E-2</v>
      </c>
      <c r="W39" s="144">
        <f>[4]Recap!$E41</f>
        <v>4.9633076110753183E-2</v>
      </c>
      <c r="X39" s="144">
        <f>[5]Recap!$E41</f>
        <v>7.5298151563747931E-2</v>
      </c>
      <c r="Y39" s="144">
        <f>[6]Recap!$E41</f>
        <v>5.1436455727775755E-2</v>
      </c>
      <c r="Z39" s="144">
        <f>[7]Recap!$E41</f>
        <v>5.1449251752074904E-2</v>
      </c>
      <c r="AA39" s="144">
        <f>[8]Recap!$E40</f>
        <v>3.8982867925448007E-2</v>
      </c>
      <c r="AB39" s="144">
        <f>[9]Recap!$E40</f>
        <v>3.8867715310512613E-2</v>
      </c>
      <c r="AC39" s="144">
        <f>[10]Recap!$E40</f>
        <v>3.8586371892104496E-2</v>
      </c>
      <c r="AD39" s="144">
        <f>[11]Recap!$E39</f>
        <v>2.6062276598483217E-2</v>
      </c>
      <c r="AE39" s="144">
        <f>[12]Recap!$E39</f>
        <v>2.7274816497490237E-2</v>
      </c>
      <c r="AF39" s="144">
        <f>[13]Recap!$E39</f>
        <v>1.3151660328319114E-2</v>
      </c>
      <c r="AG39" s="144">
        <f>[14]Recap!$E37</f>
        <v>1.4416299507099974E-2</v>
      </c>
      <c r="AH39" s="145">
        <f>[15]Recap!$E37</f>
        <v>1.3073400940437898E-2</v>
      </c>
    </row>
    <row r="40" spans="1:34" s="43" customFormat="1" ht="12.75" x14ac:dyDescent="0.2">
      <c r="A40" s="33">
        <v>2025</v>
      </c>
      <c r="B40" s="142">
        <f>'[1]2025'!Wh_Ppv</f>
        <v>422.56753725831368</v>
      </c>
      <c r="C40" s="142">
        <f>'[2]2025'!Wh_Ppv</f>
        <v>618.65146600749904</v>
      </c>
      <c r="D40" s="142">
        <f>'[3]2025'!Wh_Ppv</f>
        <v>612.08526395564331</v>
      </c>
      <c r="E40" s="142">
        <f>'[4]2025'!Wh_Ppv</f>
        <v>626.92029293258747</v>
      </c>
      <c r="F40" s="142">
        <f>'[5]2025'!Wh_Ppv</f>
        <v>751.87477958648378</v>
      </c>
      <c r="G40" s="142">
        <f>'[6]2025'!Wh_Ppv</f>
        <v>636.02734564273487</v>
      </c>
      <c r="H40" s="142">
        <f>'[7]2025'!Wh_Ppv</f>
        <v>589.91414110498408</v>
      </c>
      <c r="I40" s="142">
        <f>'[8]2025'!Wh_Ppv</f>
        <v>515.3647479314277</v>
      </c>
      <c r="J40" s="142">
        <f>'[9]2025'!Wh_Ppv</f>
        <v>518.42620888119382</v>
      </c>
      <c r="K40" s="142">
        <f>'[10]2025'!Wh_Ppv</f>
        <v>517.19601255131784</v>
      </c>
      <c r="L40" s="142">
        <f>'[11]2025'!Wh_Ppv</f>
        <v>1470.8129442317513</v>
      </c>
      <c r="M40" s="142">
        <f>'[12]2025'!Wh_Ppv</f>
        <v>1492.8682672518553</v>
      </c>
      <c r="N40" s="142">
        <f>'[13]2025'!Wh_Ppv</f>
        <v>700.04913738400501</v>
      </c>
      <c r="O40" s="142">
        <f>'[14]2025'!Wh_Ppv</f>
        <v>883.84814286817709</v>
      </c>
      <c r="P40" s="143">
        <f>'[15]2025'!Wh_Ppv</f>
        <v>199.67332346086368</v>
      </c>
      <c r="Q40" s="142">
        <f t="shared" si="7"/>
        <v>10556.279611048838</v>
      </c>
      <c r="S40" s="33">
        <v>2025</v>
      </c>
      <c r="T40" s="144">
        <f>[1]Recap!$E42</f>
        <v>5.92326282268704E-2</v>
      </c>
      <c r="U40" s="144">
        <f>[2]Recap!$E42</f>
        <v>5.8410888640135557E-2</v>
      </c>
      <c r="V40" s="144">
        <f>[3]Recap!$E42</f>
        <v>5.6908474479342615E-2</v>
      </c>
      <c r="W40" s="144">
        <f>[4]Recap!$E42</f>
        <v>5.802962771830622E-2</v>
      </c>
      <c r="X40" s="144">
        <f>[5]Recap!$E42</f>
        <v>8.4596420802285063E-2</v>
      </c>
      <c r="Y40" s="144">
        <f>[6]Recap!$E42</f>
        <v>6.0485918730768674E-2</v>
      </c>
      <c r="Z40" s="144">
        <f>[7]Recap!$E42</f>
        <v>6.0438109359871879E-2</v>
      </c>
      <c r="AA40" s="144">
        <f>[8]Recap!$E41</f>
        <v>4.6268917712895277E-2</v>
      </c>
      <c r="AB40" s="144">
        <f>[9]Recap!$E41</f>
        <v>4.6150306403850538E-2</v>
      </c>
      <c r="AC40" s="144">
        <f>[10]Recap!$E41</f>
        <v>4.5859779822259306E-2</v>
      </c>
      <c r="AD40" s="144">
        <f>[11]Recap!$E40</f>
        <v>3.1705111411624201E-2</v>
      </c>
      <c r="AE40" s="144">
        <f>[12]Recap!$E40</f>
        <v>3.2666454244360571E-2</v>
      </c>
      <c r="AF40" s="144">
        <f>[13]Recap!$E40</f>
        <v>1.6186628133811897E-2</v>
      </c>
      <c r="AG40" s="144">
        <f>[14]Recap!$E38</f>
        <v>1.949695991360198E-2</v>
      </c>
      <c r="AH40" s="145">
        <f>[15]Recap!$E38</f>
        <v>1.8150465809984837E-2</v>
      </c>
    </row>
    <row r="41" spans="1:34" s="43" customFormat="1" ht="12.75" x14ac:dyDescent="0.2">
      <c r="A41" s="33">
        <v>2026</v>
      </c>
      <c r="B41" s="142">
        <f>'[1]2026'!Wh_Ppv</f>
        <v>467.06648143187431</v>
      </c>
      <c r="C41" s="142">
        <f>'[2]2026'!Wh_Ppv</f>
        <v>719.45087446962316</v>
      </c>
      <c r="D41" s="142">
        <f>'[3]2026'!Wh_Ppv</f>
        <v>708.68378258688244</v>
      </c>
      <c r="E41" s="142">
        <f>'[4]2026'!Wh_Ppv</f>
        <v>724.33216718225412</v>
      </c>
      <c r="F41" s="142">
        <f>'[5]2026'!Wh_Ppv</f>
        <v>849.92879429235654</v>
      </c>
      <c r="G41" s="142">
        <f>'[6]2026'!Wh_Ppv</f>
        <v>703.33338692122925</v>
      </c>
      <c r="H41" s="142">
        <f>'[7]2026'!Wh_Ppv</f>
        <v>704.6912513135776</v>
      </c>
      <c r="I41" s="142">
        <f>'[8]2026'!Wh_Ppv</f>
        <v>604.18877586662893</v>
      </c>
      <c r="J41" s="142">
        <f>'[9]2026'!Wh_Ppv</f>
        <v>605.97584574379471</v>
      </c>
      <c r="K41" s="142">
        <f>'[10]2026'!Wh_Ppv</f>
        <v>607.03772160264816</v>
      </c>
      <c r="L41" s="142">
        <f>'[11]2026'!Wh_Ppv</f>
        <v>1753.3196334072636</v>
      </c>
      <c r="M41" s="142">
        <f>'[12]2026'!Wh_Ppv</f>
        <v>1775.9252762148099</v>
      </c>
      <c r="N41" s="142">
        <f>'[13]2026'!Wh_Ppv</f>
        <v>836.66536953696777</v>
      </c>
      <c r="O41" s="142">
        <f>'[14]2026'!Wh_Ppv</f>
        <v>1125.3647485266192</v>
      </c>
      <c r="P41" s="143">
        <f>'[15]2026'!Wh_Ppv</f>
        <v>258.25132536949059</v>
      </c>
      <c r="Q41" s="142">
        <f t="shared" si="7"/>
        <v>12444.215434466021</v>
      </c>
      <c r="S41" s="33">
        <v>2026</v>
      </c>
      <c r="T41" s="144">
        <f>[1]Recap!$E43</f>
        <v>6.7662786369210942E-2</v>
      </c>
      <c r="U41" s="144">
        <f>[2]Recap!$E43</f>
        <v>6.6954916361464153E-2</v>
      </c>
      <c r="V41" s="144">
        <f>[3]Recap!$E43</f>
        <v>6.5414542425052444E-2</v>
      </c>
      <c r="W41" s="144">
        <f>[4]Recap!$E43</f>
        <v>6.6555482608294192E-2</v>
      </c>
      <c r="X41" s="144">
        <f>[5]Recap!$E43</f>
        <v>9.4128618633835967E-2</v>
      </c>
      <c r="Y41" s="144">
        <f>[6]Recap!$E43</f>
        <v>6.9471243231570876E-2</v>
      </c>
      <c r="Z41" s="144">
        <f>[7]Recap!$E43</f>
        <v>6.9516347385678953E-2</v>
      </c>
      <c r="AA41" s="144">
        <f>[8]Recap!$E42</f>
        <v>5.3655673324016821E-2</v>
      </c>
      <c r="AB41" s="144">
        <f>[9]Recap!$E42</f>
        <v>5.3522717800201257E-2</v>
      </c>
      <c r="AC41" s="144">
        <f>[10]Recap!$E42</f>
        <v>5.3235849666107719E-2</v>
      </c>
      <c r="AD41" s="144">
        <f>[11]Recap!$E41</f>
        <v>3.7412984769450382E-2</v>
      </c>
      <c r="AE41" s="144">
        <f>[12]Recap!$E41</f>
        <v>3.8680241865234777E-2</v>
      </c>
      <c r="AF41" s="144">
        <f>[13]Recap!$E41</f>
        <v>1.9243959651373786E-2</v>
      </c>
      <c r="AG41" s="144">
        <f>[14]Recap!$E39</f>
        <v>2.4619284960218073E-2</v>
      </c>
      <c r="AH41" s="145">
        <f>[15]Recap!$E39</f>
        <v>2.3264003681248875E-2</v>
      </c>
    </row>
    <row r="42" spans="1:34" s="43" customFormat="1" ht="12.75" x14ac:dyDescent="0.2">
      <c r="A42" s="33">
        <v>2027</v>
      </c>
      <c r="B42" s="142">
        <f>'[1]2027'!Wh_Ppv</f>
        <v>536.04470414599473</v>
      </c>
      <c r="C42" s="142">
        <f>'[2]2027'!Wh_Ppv</f>
        <v>786.40397246267275</v>
      </c>
      <c r="D42" s="142">
        <f>'[3]2027'!Wh_Ppv</f>
        <v>782.42383079742103</v>
      </c>
      <c r="E42" s="142">
        <f>'[4]2027'!Wh_Ppv</f>
        <v>798.29225175458851</v>
      </c>
      <c r="F42" s="142">
        <f>'[5]2027'!Wh_Ppv</f>
        <v>889.01566724582153</v>
      </c>
      <c r="G42" s="142">
        <f>'[6]2027'!Wh_Ppv</f>
        <v>813.24957641056062</v>
      </c>
      <c r="H42" s="142">
        <f>'[7]2027'!Wh_Ppv</f>
        <v>758.64073903104509</v>
      </c>
      <c r="I42" s="142">
        <f>'[8]2027'!Wh_Ppv</f>
        <v>677.65591671252878</v>
      </c>
      <c r="J42" s="142">
        <f>'[9]2027'!Wh_Ppv</f>
        <v>675.88782199072193</v>
      </c>
      <c r="K42" s="142">
        <f>'[10]2027'!Wh_Ppv</f>
        <v>673.96109393410734</v>
      </c>
      <c r="L42" s="142">
        <f>'[11]2027'!Wh_Ppv</f>
        <v>1978.0402757304328</v>
      </c>
      <c r="M42" s="142">
        <f>'[12]2027'!Wh_Ppv</f>
        <v>1993.9178873784986</v>
      </c>
      <c r="N42" s="142">
        <f>'[13]2027'!Wh_Ppv</f>
        <v>958.61223849829548</v>
      </c>
      <c r="O42" s="142">
        <f>'[14]2027'!Wh_Ppv</f>
        <v>1336.2228457737365</v>
      </c>
      <c r="P42" s="143">
        <f>'[15]2027'!Wh_Ppv</f>
        <v>309.27949828581768</v>
      </c>
      <c r="Q42" s="142">
        <f t="shared" si="7"/>
        <v>13967.648320152242</v>
      </c>
      <c r="S42" s="33">
        <v>2027</v>
      </c>
      <c r="T42" s="144">
        <f>[1]Recap!$E44</f>
        <v>7.6284794772424974E-2</v>
      </c>
      <c r="U42" s="144">
        <f>[2]Recap!$E44</f>
        <v>7.5467183404328633E-2</v>
      </c>
      <c r="V42" s="144">
        <f>[3]Recap!$E44</f>
        <v>7.3920906182636928E-2</v>
      </c>
      <c r="W42" s="144">
        <f>[4]Recap!$E44</f>
        <v>7.5082245673011319E-2</v>
      </c>
      <c r="X42" s="144">
        <f>[5]Recap!$E44</f>
        <v>0.10360471195812342</v>
      </c>
      <c r="Y42" s="144">
        <f>[6]Recap!$E44</f>
        <v>7.8654163530002125E-2</v>
      </c>
      <c r="Z42" s="144">
        <f>[7]Recap!$E44</f>
        <v>7.8560723953711969E-2</v>
      </c>
      <c r="AA42" s="144">
        <f>[8]Recap!$E43</f>
        <v>6.1016492717409741E-2</v>
      </c>
      <c r="AB42" s="144">
        <f>[9]Recap!$E43</f>
        <v>6.0890712336908209E-2</v>
      </c>
      <c r="AC42" s="144">
        <f>[10]Recap!$E43</f>
        <v>6.0594768249547015E-2</v>
      </c>
      <c r="AD42" s="144">
        <f>[11]Recap!$E42</f>
        <v>4.3108725986719554E-2</v>
      </c>
      <c r="AE42" s="144">
        <f>[12]Recap!$E42</f>
        <v>4.4099695561313629E-2</v>
      </c>
      <c r="AF42" s="144">
        <f>[13]Recap!$E42</f>
        <v>2.2297997436472386E-2</v>
      </c>
      <c r="AG42" s="144">
        <f>[14]Recap!$E40</f>
        <v>2.9735789799245401E-2</v>
      </c>
      <c r="AH42" s="145">
        <f>[15]Recap!$E40</f>
        <v>2.8375362404539535E-2</v>
      </c>
    </row>
    <row r="43" spans="1:34" s="15" customFormat="1" x14ac:dyDescent="0.25">
      <c r="A43" s="90" t="s">
        <v>57</v>
      </c>
      <c r="B43" s="179">
        <f t="shared" ref="B43:H43" si="8">SUM(B33:B42)</f>
        <v>2712.2505536690596</v>
      </c>
      <c r="C43" s="179">
        <f t="shared" si="8"/>
        <v>3999.8480118122416</v>
      </c>
      <c r="D43" s="179">
        <f>SUM(D33:D42)</f>
        <v>3974.6919258463668</v>
      </c>
      <c r="E43" s="179">
        <f t="shared" si="8"/>
        <v>4072.8230507328526</v>
      </c>
      <c r="F43" s="179">
        <f t="shared" si="8"/>
        <v>4854.2293151993736</v>
      </c>
      <c r="G43" s="179">
        <f t="shared" si="8"/>
        <v>3994.5726070197561</v>
      </c>
      <c r="H43" s="179">
        <f t="shared" si="8"/>
        <v>3823.4588314750063</v>
      </c>
      <c r="I43" s="179">
        <f>SUM(I34:I42)</f>
        <v>3213.464748022825</v>
      </c>
      <c r="J43" s="179">
        <f>SUM(J34:J42)</f>
        <v>3220.3799343096816</v>
      </c>
      <c r="K43" s="179">
        <f>SUM(K34:K42)</f>
        <v>3213.5601868019166</v>
      </c>
      <c r="L43" s="179">
        <f>SUM(L35:L42)</f>
        <v>8666.353371060417</v>
      </c>
      <c r="M43" s="179">
        <f>SUM(M35:M42)</f>
        <v>8845.741862142022</v>
      </c>
      <c r="N43" s="179">
        <f>SUM(N35:N42)</f>
        <v>3996.4774239379985</v>
      </c>
      <c r="O43" s="179">
        <f t="shared" ref="O43:P43" si="9">SUM(O35:O42)</f>
        <v>4671.4658629347759</v>
      </c>
      <c r="P43" s="179">
        <f t="shared" si="9"/>
        <v>1036.0597120144012</v>
      </c>
      <c r="Q43" s="127">
        <f>SUM(B43:P43)</f>
        <v>64295.377396978693</v>
      </c>
      <c r="S43" s="90" t="s">
        <v>58</v>
      </c>
      <c r="T43" s="180">
        <f>AVERAGE(T33:T42)</f>
        <v>3.853679683359329E-2</v>
      </c>
      <c r="U43" s="180">
        <f t="shared" ref="U43:AD43" si="10">AVERAGE(U33:U42)</f>
        <v>3.7858187040705697E-2</v>
      </c>
      <c r="V43" s="180">
        <f>AVERAGE(V33:V42)</f>
        <v>3.6872178071788213E-2</v>
      </c>
      <c r="W43" s="180">
        <f t="shared" si="10"/>
        <v>3.7534163524564561E-2</v>
      </c>
      <c r="X43" s="180">
        <f t="shared" si="10"/>
        <v>5.3988571181596758E-2</v>
      </c>
      <c r="Y43" s="180">
        <f t="shared" si="10"/>
        <v>3.8707749260381716E-2</v>
      </c>
      <c r="Z43" s="180">
        <f t="shared" si="10"/>
        <v>3.868211660285531E-2</v>
      </c>
      <c r="AA43" s="180">
        <f t="shared" si="10"/>
        <v>3.1856058847078275E-2</v>
      </c>
      <c r="AB43" s="180">
        <f t="shared" si="10"/>
        <v>3.1757260654298389E-2</v>
      </c>
      <c r="AC43" s="180">
        <f t="shared" si="10"/>
        <v>3.1517643716261201E-2</v>
      </c>
      <c r="AD43" s="180">
        <f t="shared" si="10"/>
        <v>2.3292720970406699E-2</v>
      </c>
      <c r="AE43" s="180">
        <f>AVERAGE(AE33:AE42)</f>
        <v>2.4098782525288454E-2</v>
      </c>
      <c r="AF43" s="180">
        <f t="shared" ref="AF43:AG43" si="11">AVERAGE(AF33:AF42)</f>
        <v>1.16802971045633E-2</v>
      </c>
      <c r="AG43" s="180">
        <f t="shared" si="11"/>
        <v>1.7089700122691922E-2</v>
      </c>
      <c r="AH43" s="180">
        <f>AVERAGE(AH33:AH42)</f>
        <v>1.5615726272610597E-2</v>
      </c>
    </row>
    <row r="44" spans="1:34" s="15" customFormat="1" ht="12.75" x14ac:dyDescent="0.2">
      <c r="A44" s="6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127"/>
      <c r="S44" s="68"/>
      <c r="T44" s="9"/>
      <c r="U44" s="9"/>
      <c r="V44" s="9"/>
      <c r="W44" s="9"/>
      <c r="X44" s="9"/>
      <c r="Y44" s="9"/>
      <c r="Z44" s="9"/>
      <c r="AA44" s="181"/>
      <c r="AB44" s="9"/>
      <c r="AC44" s="9"/>
      <c r="AD44" s="181"/>
      <c r="AE44" s="181"/>
      <c r="AF44" s="181"/>
      <c r="AG44" s="181"/>
      <c r="AH44" s="18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43"/>
  <sheetViews>
    <sheetView workbookViewId="0">
      <selection activeCell="L31" sqref="L31"/>
    </sheetView>
  </sheetViews>
  <sheetFormatPr baseColWidth="10" defaultRowHeight="15" x14ac:dyDescent="0.25"/>
  <cols>
    <col min="1" max="1" width="5.7109375" customWidth="1"/>
    <col min="2" max="16" width="8.42578125" style="2" customWidth="1"/>
    <col min="17" max="17" width="1.7109375" style="3" customWidth="1"/>
    <col min="18" max="18" width="5.140625" style="4" customWidth="1"/>
    <col min="19" max="31" width="8.42578125" style="4" customWidth="1"/>
    <col min="32" max="33" width="8.42578125" style="2" customWidth="1"/>
    <col min="34" max="34" width="1.42578125" style="4" customWidth="1"/>
    <col min="35" max="35" width="5.140625" style="4" customWidth="1"/>
    <col min="36" max="48" width="8.42578125" style="4" customWidth="1"/>
    <col min="49" max="50" width="8.42578125" style="2" customWidth="1"/>
  </cols>
  <sheetData>
    <row r="1" spans="1:50" ht="18.75" x14ac:dyDescent="0.3">
      <c r="A1" s="1" t="s">
        <v>0</v>
      </c>
    </row>
    <row r="2" spans="1:50" ht="7.5" customHeight="1" x14ac:dyDescent="0.3">
      <c r="A2" s="1"/>
    </row>
    <row r="3" spans="1:50" ht="15.75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8" t="s">
        <v>2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6"/>
      <c r="AG3" s="6"/>
      <c r="AH3" s="10"/>
      <c r="AI3" s="8" t="s">
        <v>3</v>
      </c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6"/>
      <c r="AX3" s="6"/>
    </row>
    <row r="4" spans="1:50" s="15" customFormat="1" ht="33.75" x14ac:dyDescent="0.2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3"/>
      <c r="R4" s="11" t="s">
        <v>4</v>
      </c>
      <c r="S4" s="12" t="s">
        <v>5</v>
      </c>
      <c r="T4" s="12" t="s">
        <v>6</v>
      </c>
      <c r="U4" s="12" t="s">
        <v>7</v>
      </c>
      <c r="V4" s="12" t="s">
        <v>8</v>
      </c>
      <c r="W4" s="12" t="s">
        <v>9</v>
      </c>
      <c r="X4" s="12" t="s">
        <v>10</v>
      </c>
      <c r="Y4" s="12" t="s">
        <v>11</v>
      </c>
      <c r="Z4" s="12" t="s">
        <v>12</v>
      </c>
      <c r="AA4" s="12" t="s">
        <v>13</v>
      </c>
      <c r="AB4" s="12" t="s">
        <v>14</v>
      </c>
      <c r="AC4" s="12" t="s">
        <v>15</v>
      </c>
      <c r="AD4" s="12" t="s">
        <v>16</v>
      </c>
      <c r="AE4" s="12" t="s">
        <v>17</v>
      </c>
      <c r="AF4" s="12" t="s">
        <v>18</v>
      </c>
      <c r="AG4" s="12" t="s">
        <v>19</v>
      </c>
      <c r="AH4" s="14"/>
      <c r="AI4" s="11" t="s">
        <v>4</v>
      </c>
      <c r="AJ4" s="12" t="s">
        <v>5</v>
      </c>
      <c r="AK4" s="12" t="s">
        <v>6</v>
      </c>
      <c r="AL4" s="12" t="s">
        <v>7</v>
      </c>
      <c r="AM4" s="12" t="s">
        <v>8</v>
      </c>
      <c r="AN4" s="12" t="s">
        <v>9</v>
      </c>
      <c r="AO4" s="12" t="s">
        <v>10</v>
      </c>
      <c r="AP4" s="12" t="s">
        <v>11</v>
      </c>
      <c r="AQ4" s="12" t="s">
        <v>12</v>
      </c>
      <c r="AR4" s="12" t="s">
        <v>13</v>
      </c>
      <c r="AS4" s="12" t="s">
        <v>14</v>
      </c>
      <c r="AT4" s="12" t="s">
        <v>15</v>
      </c>
      <c r="AU4" s="12" t="s">
        <v>16</v>
      </c>
      <c r="AV4" s="12" t="s">
        <v>17</v>
      </c>
      <c r="AW4" s="12" t="s">
        <v>18</v>
      </c>
      <c r="AX4" s="12" t="s">
        <v>19</v>
      </c>
    </row>
    <row r="5" spans="1:50" s="15" customFormat="1" ht="12.75" x14ac:dyDescent="0.2">
      <c r="A5" s="16">
        <v>2018</v>
      </c>
      <c r="B5" s="17">
        <f t="shared" ref="B5:P14" si="0">S5/AJ5</f>
        <v>7.0000000000000007E-2</v>
      </c>
      <c r="C5" s="18">
        <f t="shared" si="0"/>
        <v>4.6666666666666669E-2</v>
      </c>
      <c r="D5" s="18">
        <f t="shared" si="0"/>
        <v>2.6923076923076925E-2</v>
      </c>
      <c r="E5" s="18">
        <f t="shared" si="0"/>
        <v>2.3333333333333334E-2</v>
      </c>
      <c r="F5" s="17">
        <f t="shared" si="0"/>
        <v>6.8000000000000005E-2</v>
      </c>
      <c r="G5" s="18">
        <f t="shared" si="0"/>
        <v>6.8000000000000005E-2</v>
      </c>
      <c r="H5" s="17">
        <f t="shared" si="0"/>
        <v>8.3999999999999991E-2</v>
      </c>
      <c r="I5" s="18"/>
      <c r="J5" s="18"/>
      <c r="K5" s="18"/>
      <c r="L5" s="18"/>
      <c r="M5" s="18"/>
      <c r="N5" s="18"/>
      <c r="O5" s="18"/>
      <c r="P5" s="19"/>
      <c r="Q5" s="20"/>
      <c r="R5" s="21">
        <v>2018</v>
      </c>
      <c r="S5" s="22">
        <f>'[1]2018'!Salim</f>
        <v>0.14000000000000001</v>
      </c>
      <c r="T5" s="22">
        <f>'[2]2018'!Salim</f>
        <v>0.14000000000000001</v>
      </c>
      <c r="U5" s="22">
        <f>'[3]2018'!Salim</f>
        <v>7.0000000000000007E-2</v>
      </c>
      <c r="V5" s="22">
        <f>'[4]2018'!Salim</f>
        <v>7.0000000000000007E-2</v>
      </c>
      <c r="W5" s="22">
        <f>'[5]2018'!Salim</f>
        <v>0.17</v>
      </c>
      <c r="X5" s="22">
        <f>'[6]2018'!Salim</f>
        <v>0.17</v>
      </c>
      <c r="Y5" s="23">
        <f>'[7]2018'!Salim</f>
        <v>0.21</v>
      </c>
      <c r="Z5" s="22"/>
      <c r="AA5" s="22"/>
      <c r="AB5" s="22"/>
      <c r="AC5" s="22"/>
      <c r="AD5" s="22"/>
      <c r="AE5" s="22"/>
      <c r="AF5" s="22"/>
      <c r="AG5" s="19"/>
      <c r="AH5" s="24"/>
      <c r="AI5" s="21">
        <v>2018</v>
      </c>
      <c r="AJ5" s="25">
        <f>'[1]2018'!Tau_j/365</f>
        <v>2</v>
      </c>
      <c r="AK5" s="26">
        <f>'[2]2018'!Tau_j/365</f>
        <v>3</v>
      </c>
      <c r="AL5" s="26">
        <f>'[3]2018'!Tau_j/365</f>
        <v>2.6</v>
      </c>
      <c r="AM5" s="26">
        <f>'[4]2018'!Tau_j/365</f>
        <v>3</v>
      </c>
      <c r="AN5" s="25">
        <f>'[5]2018'!Tau_j/365</f>
        <v>2.5</v>
      </c>
      <c r="AO5" s="26">
        <f>'[6]2018'!Tau_j/365</f>
        <v>2.5</v>
      </c>
      <c r="AP5" s="25">
        <f>'[7]2018'!Tau_j/365</f>
        <v>2.5</v>
      </c>
      <c r="AQ5" s="26"/>
      <c r="AR5" s="26"/>
      <c r="AS5" s="26"/>
      <c r="AT5" s="26"/>
      <c r="AU5" s="26"/>
      <c r="AV5" s="26"/>
      <c r="AW5" s="26"/>
      <c r="AX5" s="27"/>
    </row>
    <row r="6" spans="1:50" s="15" customFormat="1" ht="12.75" x14ac:dyDescent="0.2">
      <c r="A6" s="16">
        <v>2019</v>
      </c>
      <c r="B6" s="17">
        <f t="shared" si="0"/>
        <v>7.0000000000000007E-2</v>
      </c>
      <c r="C6" s="28">
        <f t="shared" si="0"/>
        <v>0.16</v>
      </c>
      <c r="D6" s="18">
        <f t="shared" si="0"/>
        <v>2.6923076923076925E-2</v>
      </c>
      <c r="E6" s="18">
        <f t="shared" si="0"/>
        <v>2.3333333333333334E-2</v>
      </c>
      <c r="F6" s="17">
        <f t="shared" si="0"/>
        <v>6.8000000000000005E-2</v>
      </c>
      <c r="G6" s="18">
        <f t="shared" si="0"/>
        <v>6.8000000000000005E-2</v>
      </c>
      <c r="H6" s="17">
        <f t="shared" si="0"/>
        <v>8.3999999999999991E-2</v>
      </c>
      <c r="I6" s="18">
        <f t="shared" si="0"/>
        <v>2.6666666666666668E-2</v>
      </c>
      <c r="J6" s="18">
        <f t="shared" si="0"/>
        <v>3.3333333333333333E-2</v>
      </c>
      <c r="K6" s="18">
        <f t="shared" si="0"/>
        <v>0.04</v>
      </c>
      <c r="L6" s="18"/>
      <c r="M6" s="18"/>
      <c r="N6" s="18"/>
      <c r="O6" s="18"/>
      <c r="P6" s="29"/>
      <c r="Q6" s="20"/>
      <c r="R6" s="21">
        <v>2019</v>
      </c>
      <c r="S6" s="22">
        <f>'[1]2019'!Salim</f>
        <v>0.14000000000000001</v>
      </c>
      <c r="T6" s="22">
        <f>'[2]2019'!Salim</f>
        <v>0.08</v>
      </c>
      <c r="U6" s="22">
        <f>'[3]2019'!Salim</f>
        <v>7.0000000000000007E-2</v>
      </c>
      <c r="V6" s="22">
        <f>'[4]2019'!Salim</f>
        <v>7.0000000000000007E-2</v>
      </c>
      <c r="W6" s="22">
        <f>'[5]2019'!Salim</f>
        <v>0.17</v>
      </c>
      <c r="X6" s="22">
        <f>'[6]2019'!Salim</f>
        <v>0.17</v>
      </c>
      <c r="Y6" s="23">
        <f>'[7]2019'!Salim</f>
        <v>0.21</v>
      </c>
      <c r="Z6" s="22">
        <f>'[8]2019'!Salim</f>
        <v>0.08</v>
      </c>
      <c r="AA6" s="22">
        <f>'[9]2019'!Salim</f>
        <v>0.1</v>
      </c>
      <c r="AB6" s="22">
        <f>'[10]2019'!Salim</f>
        <v>0.12</v>
      </c>
      <c r="AC6" s="22"/>
      <c r="AD6" s="22"/>
      <c r="AE6" s="22"/>
      <c r="AF6" s="22"/>
      <c r="AG6" s="29"/>
      <c r="AH6" s="24"/>
      <c r="AI6" s="21">
        <v>2019</v>
      </c>
      <c r="AJ6" s="25">
        <f>'[1]2019'!Tau_j/365</f>
        <v>2</v>
      </c>
      <c r="AK6" s="30">
        <f>'[2]2019'!Tau_j/365</f>
        <v>0.5</v>
      </c>
      <c r="AL6" s="26">
        <f>'[3]2019'!Tau_j/365</f>
        <v>2.6</v>
      </c>
      <c r="AM6" s="26">
        <f>'[4]2019'!Tau_j/365</f>
        <v>3</v>
      </c>
      <c r="AN6" s="25">
        <f>'[5]2019'!Tau_j/365</f>
        <v>2.5</v>
      </c>
      <c r="AO6" s="26">
        <f>'[6]2019'!Tau_j/365</f>
        <v>2.5</v>
      </c>
      <c r="AP6" s="25">
        <f>'[7]2019'!Tau_j/365</f>
        <v>2.5</v>
      </c>
      <c r="AQ6" s="26">
        <f>'[8]2019'!Tau_j/365</f>
        <v>3</v>
      </c>
      <c r="AR6" s="26">
        <f>'[9]2019'!Tau_j/365</f>
        <v>3</v>
      </c>
      <c r="AS6" s="26">
        <f>'[10]2019'!Tau_j/365</f>
        <v>3</v>
      </c>
      <c r="AT6" s="26"/>
      <c r="AU6" s="26"/>
      <c r="AV6" s="26"/>
      <c r="AW6" s="26"/>
      <c r="AX6" s="31"/>
    </row>
    <row r="7" spans="1:50" s="15" customFormat="1" ht="12.75" x14ac:dyDescent="0.2">
      <c r="A7" s="16">
        <v>2020</v>
      </c>
      <c r="B7" s="17">
        <f t="shared" si="0"/>
        <v>7.0000000000000007E-2</v>
      </c>
      <c r="C7" s="18">
        <f t="shared" si="0"/>
        <v>0.04</v>
      </c>
      <c r="D7" s="18">
        <f t="shared" si="0"/>
        <v>2.6923076923076925E-2</v>
      </c>
      <c r="E7" s="18">
        <f t="shared" si="0"/>
        <v>3.8333333333333337E-2</v>
      </c>
      <c r="F7" s="17">
        <f t="shared" si="0"/>
        <v>6.8000000000000005E-2</v>
      </c>
      <c r="G7" s="18">
        <f t="shared" si="0"/>
        <v>6.8000000000000005E-2</v>
      </c>
      <c r="H7" s="17">
        <f t="shared" si="0"/>
        <v>0.14000000000000001</v>
      </c>
      <c r="I7" s="18">
        <f t="shared" si="0"/>
        <v>2.6666666666666668E-2</v>
      </c>
      <c r="J7" s="18">
        <f t="shared" si="0"/>
        <v>3.3333333333333333E-2</v>
      </c>
      <c r="K7" s="18">
        <f t="shared" si="0"/>
        <v>3.3333333333333333E-2</v>
      </c>
      <c r="L7" s="18">
        <f t="shared" si="0"/>
        <v>2.4999999999999998E-2</v>
      </c>
      <c r="M7" s="18">
        <f t="shared" si="0"/>
        <v>2.1666666666666667E-2</v>
      </c>
      <c r="N7" s="18">
        <f t="shared" si="0"/>
        <v>1.1666666666666667E-2</v>
      </c>
      <c r="O7" s="18"/>
      <c r="P7" s="29"/>
      <c r="Q7" s="20"/>
      <c r="R7" s="21">
        <v>2020</v>
      </c>
      <c r="S7" s="22">
        <f>'[1]2020'!Salim</f>
        <v>0.14000000000000001</v>
      </c>
      <c r="T7" s="22">
        <f>'[2]2020'!Salim</f>
        <v>0.12</v>
      </c>
      <c r="U7" s="22">
        <f>'[3]2020'!Salim</f>
        <v>7.0000000000000007E-2</v>
      </c>
      <c r="V7" s="22">
        <f>'[4]2020'!Salim</f>
        <v>0.115</v>
      </c>
      <c r="W7" s="22">
        <f>'[5]2020'!Salim</f>
        <v>0.17</v>
      </c>
      <c r="X7" s="22">
        <f>'[6]2020'!Salim</f>
        <v>0.17</v>
      </c>
      <c r="Y7" s="23">
        <f>'[7]2020'!Salim</f>
        <v>0.14000000000000001</v>
      </c>
      <c r="Z7" s="22">
        <f>'[8]2020'!Salim</f>
        <v>0.08</v>
      </c>
      <c r="AA7" s="22">
        <f>'[9]2020'!Salim</f>
        <v>0.1</v>
      </c>
      <c r="AB7" s="22">
        <f>'[10]2020'!Salim</f>
        <v>0.1</v>
      </c>
      <c r="AC7" s="22">
        <f>'[11]2020'!Salim</f>
        <v>7.4999999999999997E-2</v>
      </c>
      <c r="AD7" s="22">
        <f>'[12]2020'!Salim</f>
        <v>6.5000000000000002E-2</v>
      </c>
      <c r="AE7" s="22">
        <f>'[13]2020'!Salim</f>
        <v>3.5000000000000003E-2</v>
      </c>
      <c r="AF7" s="22"/>
      <c r="AG7" s="29"/>
      <c r="AH7" s="24"/>
      <c r="AI7" s="21">
        <v>2020</v>
      </c>
      <c r="AJ7" s="25">
        <f>'[1]2020'!Tau_j/365</f>
        <v>2</v>
      </c>
      <c r="AK7" s="26">
        <f>'[2]2020'!Tau_j/365</f>
        <v>3</v>
      </c>
      <c r="AL7" s="26">
        <f>'[3]2020'!Tau_j/365</f>
        <v>2.6</v>
      </c>
      <c r="AM7" s="26">
        <f>'[4]2020'!Tau_j/365</f>
        <v>3</v>
      </c>
      <c r="AN7" s="25">
        <f>'[5]2020'!Tau_j/365</f>
        <v>2.5</v>
      </c>
      <c r="AO7" s="26">
        <f>'[6]2020'!Tau_j/365</f>
        <v>2.5</v>
      </c>
      <c r="AP7" s="25">
        <f>'[7]2020'!Tau_j/365</f>
        <v>1</v>
      </c>
      <c r="AQ7" s="26">
        <f>'[8]2020'!Tau_j/365</f>
        <v>3</v>
      </c>
      <c r="AR7" s="26">
        <f>'[9]2020'!Tau_j/365</f>
        <v>3</v>
      </c>
      <c r="AS7" s="26">
        <f>'[10]2020'!Tau_j/365</f>
        <v>3</v>
      </c>
      <c r="AT7" s="26">
        <f>'[11]2020'!Tau_j/365</f>
        <v>3</v>
      </c>
      <c r="AU7" s="26">
        <f>'[12]2020'!Tau_j/365</f>
        <v>3</v>
      </c>
      <c r="AV7" s="26">
        <f>'[13]2020'!Tau_j/365</f>
        <v>3</v>
      </c>
      <c r="AW7" s="26"/>
      <c r="AX7" s="31"/>
    </row>
    <row r="8" spans="1:50" s="15" customFormat="1" ht="12.75" x14ac:dyDescent="0.2">
      <c r="A8" s="16">
        <v>2021</v>
      </c>
      <c r="B8" s="17">
        <f t="shared" si="0"/>
        <v>7.4999999999999997E-2</v>
      </c>
      <c r="C8" s="18">
        <f t="shared" si="0"/>
        <v>0.04</v>
      </c>
      <c r="D8" s="18">
        <f t="shared" si="0"/>
        <v>3.0769230769230767E-2</v>
      </c>
      <c r="E8" s="18">
        <f t="shared" si="0"/>
        <v>3.3333333333333333E-2</v>
      </c>
      <c r="F8" s="17">
        <f t="shared" si="0"/>
        <v>9.1999999999999998E-2</v>
      </c>
      <c r="G8" s="18">
        <f t="shared" si="0"/>
        <v>0.08</v>
      </c>
      <c r="H8" s="17">
        <f t="shared" si="0"/>
        <v>0.17</v>
      </c>
      <c r="I8" s="28">
        <f t="shared" si="0"/>
        <v>0.14000000000000001</v>
      </c>
      <c r="J8" s="18">
        <f t="shared" si="0"/>
        <v>4.9999999999999996E-2</v>
      </c>
      <c r="K8" s="28">
        <f t="shared" si="0"/>
        <v>0.125</v>
      </c>
      <c r="L8" s="18">
        <f t="shared" si="0"/>
        <v>2.4999999999999998E-2</v>
      </c>
      <c r="M8" s="28">
        <f t="shared" si="0"/>
        <v>0.125</v>
      </c>
      <c r="N8" s="28">
        <f t="shared" si="0"/>
        <v>1.1666666666666667E-2</v>
      </c>
      <c r="O8" s="28"/>
      <c r="P8" s="29"/>
      <c r="Q8" s="20"/>
      <c r="R8" s="21">
        <v>2021</v>
      </c>
      <c r="S8" s="22">
        <f>'[1]2021'!Salim</f>
        <v>0.15</v>
      </c>
      <c r="T8" s="22">
        <f>'[2]2021'!Salim</f>
        <v>0.12</v>
      </c>
      <c r="U8" s="22">
        <f>'[3]2021'!Salim</f>
        <v>0.08</v>
      </c>
      <c r="V8" s="22">
        <f>'[4]2021'!Salim</f>
        <v>0.1</v>
      </c>
      <c r="W8" s="22">
        <f>'[5]2021'!Salim</f>
        <v>0.23</v>
      </c>
      <c r="X8" s="22">
        <f>'[6]2021'!Salim</f>
        <v>0.2</v>
      </c>
      <c r="Y8" s="23">
        <f>'[7]2021'!Salim</f>
        <v>0.17</v>
      </c>
      <c r="Z8" s="22">
        <f>'[8]2021'!Salim</f>
        <v>0.14000000000000001</v>
      </c>
      <c r="AA8" s="22">
        <f>'[9]2021'!Salim</f>
        <v>0.15</v>
      </c>
      <c r="AB8" s="22">
        <f>'[10]2021'!Salim</f>
        <v>0.15</v>
      </c>
      <c r="AC8" s="22">
        <f>'[11]2021'!Salim</f>
        <v>7.4999999999999997E-2</v>
      </c>
      <c r="AD8" s="22">
        <f>'[12]2021'!Salim</f>
        <v>0.05</v>
      </c>
      <c r="AE8" s="22">
        <f>'[13]2021'!Salim</f>
        <v>3.5000000000000003E-2</v>
      </c>
      <c r="AF8" s="22"/>
      <c r="AG8" s="29"/>
      <c r="AH8" s="24"/>
      <c r="AI8" s="21">
        <v>2021</v>
      </c>
      <c r="AJ8" s="25">
        <f>'[1]2021'!Tau_j/365</f>
        <v>2</v>
      </c>
      <c r="AK8" s="26">
        <f>'[2]2021'!Tau_j/365</f>
        <v>3</v>
      </c>
      <c r="AL8" s="26">
        <f>'[3]2021'!Tau_j/365</f>
        <v>2.6</v>
      </c>
      <c r="AM8" s="26">
        <f>'[4]2021'!Tau_j/365</f>
        <v>3</v>
      </c>
      <c r="AN8" s="25">
        <f>'[5]2021'!Tau_j/365</f>
        <v>2.5</v>
      </c>
      <c r="AO8" s="26">
        <f>'[6]2021'!Tau_j/365</f>
        <v>2.5</v>
      </c>
      <c r="AP8" s="25">
        <f>'[7]2021'!Tau_j/365</f>
        <v>1</v>
      </c>
      <c r="AQ8" s="26">
        <f>'[8]2021'!Tau_j/365</f>
        <v>1</v>
      </c>
      <c r="AR8" s="26">
        <f>'[9]2021'!Tau_j/365</f>
        <v>3</v>
      </c>
      <c r="AS8" s="26">
        <f>'[10]2021'!Tau_j/365</f>
        <v>1.2</v>
      </c>
      <c r="AT8" s="26">
        <f>'[11]2021'!Tau_j/365</f>
        <v>3</v>
      </c>
      <c r="AU8" s="26">
        <f>'[12]2021'!Tau_j/365</f>
        <v>0.4</v>
      </c>
      <c r="AV8" s="26">
        <f>'[13]2021'!Tau_j/365</f>
        <v>3</v>
      </c>
      <c r="AW8" s="26"/>
      <c r="AX8" s="31"/>
    </row>
    <row r="9" spans="1:50" s="15" customFormat="1" ht="12.75" x14ac:dyDescent="0.2">
      <c r="A9" s="16">
        <v>2022</v>
      </c>
      <c r="B9" s="17">
        <f t="shared" si="0"/>
        <v>7.4999999999999997E-2</v>
      </c>
      <c r="C9" s="28">
        <f>T9/AK9</f>
        <v>9.3333333333333338E-2</v>
      </c>
      <c r="D9" s="18">
        <f t="shared" si="0"/>
        <v>4.6153846153846149E-2</v>
      </c>
      <c r="E9" s="18">
        <f t="shared" si="0"/>
        <v>0.04</v>
      </c>
      <c r="F9" s="17">
        <f t="shared" si="0"/>
        <v>9.1999999999999998E-2</v>
      </c>
      <c r="G9" s="18">
        <f t="shared" si="0"/>
        <v>7.1999999999999995E-2</v>
      </c>
      <c r="H9" s="17">
        <f t="shared" si="0"/>
        <v>8.7999999999999995E-2</v>
      </c>
      <c r="I9" s="18">
        <f t="shared" si="0"/>
        <v>2.6666666666666668E-2</v>
      </c>
      <c r="J9" s="18">
        <f t="shared" si="0"/>
        <v>3.3333333333333333E-2</v>
      </c>
      <c r="K9" s="18">
        <f t="shared" si="0"/>
        <v>3.3333333333333333E-2</v>
      </c>
      <c r="L9" s="18">
        <f t="shared" si="0"/>
        <v>4.6666666666666669E-2</v>
      </c>
      <c r="M9" s="18">
        <f t="shared" si="0"/>
        <v>2.6000000000000002E-2</v>
      </c>
      <c r="N9" s="28">
        <f t="shared" si="0"/>
        <v>0.122</v>
      </c>
      <c r="O9" s="18">
        <f t="shared" si="0"/>
        <v>2.6666666666666668E-2</v>
      </c>
      <c r="P9" s="29">
        <f t="shared" si="0"/>
        <v>2.6666666666666668E-2</v>
      </c>
      <c r="Q9" s="20"/>
      <c r="R9" s="21">
        <v>2022</v>
      </c>
      <c r="S9" s="22">
        <f>'[1]2022'!Salim</f>
        <v>0.15</v>
      </c>
      <c r="T9" s="22">
        <f>'[2]2022'!Salim</f>
        <v>0.28000000000000003</v>
      </c>
      <c r="U9" s="22">
        <f>'[3]2022'!Salim</f>
        <v>0.12</v>
      </c>
      <c r="V9" s="22">
        <f>'[4]2022'!Salim</f>
        <v>0.12</v>
      </c>
      <c r="W9" s="22">
        <f>'[5]2022'!Salim</f>
        <v>0.23</v>
      </c>
      <c r="X9" s="22">
        <f>'[6]2022'!Salim</f>
        <v>0.18</v>
      </c>
      <c r="Y9" s="23">
        <f>'[7]2022'!Salim</f>
        <v>0.22</v>
      </c>
      <c r="Z9" s="22">
        <f>'[8]2022'!Salim</f>
        <v>0.08</v>
      </c>
      <c r="AA9" s="22">
        <f>'[9]2022'!Salim</f>
        <v>0.1</v>
      </c>
      <c r="AB9" s="22">
        <f>'[10]2022'!Salim</f>
        <v>0.1</v>
      </c>
      <c r="AC9" s="22">
        <f>'[11]2022'!Salim</f>
        <v>0.14000000000000001</v>
      </c>
      <c r="AD9" s="22">
        <f>'[12]2022'!Salim</f>
        <v>6.5000000000000002E-2</v>
      </c>
      <c r="AE9" s="22">
        <f>'[13]2022'!Salim</f>
        <v>6.0999999999999999E-2</v>
      </c>
      <c r="AF9" s="22">
        <f>'[14]2022'!Salim</f>
        <v>0.08</v>
      </c>
      <c r="AG9" s="32">
        <f>'[15]2022'!Salim</f>
        <v>0.08</v>
      </c>
      <c r="AH9" s="24"/>
      <c r="AI9" s="21">
        <v>2022</v>
      </c>
      <c r="AJ9" s="25">
        <f>'[1]2022'!Tau_j/365</f>
        <v>2</v>
      </c>
      <c r="AK9" s="26">
        <f>'[2]2022'!Tau_j/365</f>
        <v>3</v>
      </c>
      <c r="AL9" s="26">
        <f>'[3]2022'!Tau_j/365</f>
        <v>2.6</v>
      </c>
      <c r="AM9" s="26">
        <f>'[4]2022'!Tau_j/365</f>
        <v>3</v>
      </c>
      <c r="AN9" s="25">
        <f>'[5]2022'!Tau_j/365</f>
        <v>2.5</v>
      </c>
      <c r="AO9" s="26">
        <f>'[6]2022'!Tau_j/365</f>
        <v>2.5</v>
      </c>
      <c r="AP9" s="25">
        <f>'[7]2022'!Tau_j/365</f>
        <v>2.5</v>
      </c>
      <c r="AQ9" s="26">
        <f>'[8]2022'!Tau_j/365</f>
        <v>3</v>
      </c>
      <c r="AR9" s="26">
        <f>'[9]2022'!Tau_j/365</f>
        <v>3</v>
      </c>
      <c r="AS9" s="26">
        <f>'[10]2022'!Tau_j/365</f>
        <v>3</v>
      </c>
      <c r="AT9" s="26">
        <f>'[11]2022'!Tau_j/365</f>
        <v>3</v>
      </c>
      <c r="AU9" s="26">
        <f>'[12]2022'!Tau_j/365</f>
        <v>2.5</v>
      </c>
      <c r="AV9" s="26">
        <f>'[13]2022'!Tau_j/365</f>
        <v>0.5</v>
      </c>
      <c r="AW9" s="26">
        <f>'[14]2022'!Tau_j/365</f>
        <v>3</v>
      </c>
      <c r="AX9" s="31">
        <f>'[15]2022'!Tau_j/365</f>
        <v>3</v>
      </c>
    </row>
    <row r="10" spans="1:50" s="43" customFormat="1" ht="12.75" x14ac:dyDescent="0.2">
      <c r="A10" s="33">
        <v>2023</v>
      </c>
      <c r="B10" s="34">
        <f t="shared" si="0"/>
        <v>7.4999999999999997E-2</v>
      </c>
      <c r="C10" s="34">
        <f t="shared" si="0"/>
        <v>5.3333333333333337E-2</v>
      </c>
      <c r="D10" s="34">
        <f t="shared" si="0"/>
        <v>3.8461538461538464E-2</v>
      </c>
      <c r="E10" s="34">
        <f t="shared" si="0"/>
        <v>3.6666666666666667E-2</v>
      </c>
      <c r="F10" s="34">
        <f t="shared" si="0"/>
        <v>0.08</v>
      </c>
      <c r="G10" s="34">
        <f t="shared" si="0"/>
        <v>7.1999999999999995E-2</v>
      </c>
      <c r="H10" s="34">
        <f t="shared" si="0"/>
        <v>8.7999999999999995E-2</v>
      </c>
      <c r="I10" s="34">
        <f t="shared" si="0"/>
        <v>2.6666666666666668E-2</v>
      </c>
      <c r="J10" s="34">
        <f t="shared" si="0"/>
        <v>3.3333333333333333E-2</v>
      </c>
      <c r="K10" s="34">
        <f t="shared" si="0"/>
        <v>4.3333333333333335E-2</v>
      </c>
      <c r="L10" s="34">
        <f t="shared" si="0"/>
        <v>3.6666666666666667E-2</v>
      </c>
      <c r="M10" s="34">
        <f t="shared" si="0"/>
        <v>2.6000000000000002E-2</v>
      </c>
      <c r="N10" s="34">
        <f t="shared" si="0"/>
        <v>0.02</v>
      </c>
      <c r="O10" s="34">
        <f t="shared" si="0"/>
        <v>2.6666666666666668E-2</v>
      </c>
      <c r="P10" s="35">
        <f t="shared" si="0"/>
        <v>2.6666666666666668E-2</v>
      </c>
      <c r="Q10" s="36"/>
      <c r="R10" s="37">
        <v>2023</v>
      </c>
      <c r="S10" s="38">
        <f>'[1]2023'!Salim</f>
        <v>0.15</v>
      </c>
      <c r="T10" s="38">
        <f>'[2]2023'!Salim</f>
        <v>0.16</v>
      </c>
      <c r="U10" s="38">
        <f>'[3]2023'!Salim</f>
        <v>0.1</v>
      </c>
      <c r="V10" s="38">
        <f>'[4]2023'!Salim</f>
        <v>0.11</v>
      </c>
      <c r="W10" s="38">
        <f>'[5]2023'!Salim</f>
        <v>0.2</v>
      </c>
      <c r="X10" s="38">
        <f>'[6]2023'!Salim</f>
        <v>0.18</v>
      </c>
      <c r="Y10" s="38">
        <f>'[7]2023'!Salim</f>
        <v>0.22</v>
      </c>
      <c r="Z10" s="38">
        <f>'[8]2023'!Salim</f>
        <v>0.08</v>
      </c>
      <c r="AA10" s="38">
        <f>'[9]2023'!Salim</f>
        <v>0.1</v>
      </c>
      <c r="AB10" s="38">
        <f>'[10]2023'!Salim</f>
        <v>0.13</v>
      </c>
      <c r="AC10" s="38">
        <f>'[11]2023'!Salim</f>
        <v>0.11</v>
      </c>
      <c r="AD10" s="38">
        <f>'[12]2023'!Salim</f>
        <v>6.5000000000000002E-2</v>
      </c>
      <c r="AE10" s="38">
        <f>'[13]2023'!Salim</f>
        <v>0.05</v>
      </c>
      <c r="AF10" s="38">
        <f>'[14]2023'!Salim</f>
        <v>0.08</v>
      </c>
      <c r="AG10" s="39">
        <f>'[15]2023'!Salim</f>
        <v>0.08</v>
      </c>
      <c r="AH10" s="40"/>
      <c r="AI10" s="37">
        <v>2023</v>
      </c>
      <c r="AJ10" s="41">
        <f>'[1]2023'!Tau_j/365</f>
        <v>2</v>
      </c>
      <c r="AK10" s="41">
        <f>'[2]2023'!Tau_j/365</f>
        <v>3</v>
      </c>
      <c r="AL10" s="41">
        <f>'[3]2023'!Tau_j/365</f>
        <v>2.6</v>
      </c>
      <c r="AM10" s="41">
        <f>'[4]2023'!Tau_j/365</f>
        <v>3</v>
      </c>
      <c r="AN10" s="41">
        <f>'[5]2023'!Tau_j/365</f>
        <v>2.5</v>
      </c>
      <c r="AO10" s="41">
        <f>'[6]2023'!Tau_j/365</f>
        <v>2.5</v>
      </c>
      <c r="AP10" s="41">
        <f>'[7]2023'!Tau_j/365</f>
        <v>2.5</v>
      </c>
      <c r="AQ10" s="41">
        <f>'[8]2023'!Tau_j/365</f>
        <v>3</v>
      </c>
      <c r="AR10" s="41">
        <f>'[9]2023'!Tau_j/365</f>
        <v>3</v>
      </c>
      <c r="AS10" s="41">
        <f>'[10]2023'!Tau_j/365</f>
        <v>3</v>
      </c>
      <c r="AT10" s="41">
        <f>'[11]2023'!Tau_j/365</f>
        <v>3</v>
      </c>
      <c r="AU10" s="41">
        <f>'[12]2023'!Tau_j/365</f>
        <v>2.5</v>
      </c>
      <c r="AV10" s="41">
        <f>'[13]2023'!Tau_j/365</f>
        <v>2.5</v>
      </c>
      <c r="AW10" s="41">
        <f>'[14]2023'!Tau_j/365</f>
        <v>3</v>
      </c>
      <c r="AX10" s="42">
        <f>'[15]2023'!Tau_j/365</f>
        <v>3</v>
      </c>
    </row>
    <row r="11" spans="1:50" s="43" customFormat="1" ht="12.75" x14ac:dyDescent="0.2">
      <c r="A11" s="33">
        <v>2024</v>
      </c>
      <c r="B11" s="34">
        <f t="shared" si="0"/>
        <v>7.4999999999999997E-2</v>
      </c>
      <c r="C11" s="34">
        <f t="shared" si="0"/>
        <v>5.3333333333333337E-2</v>
      </c>
      <c r="D11" s="34">
        <f t="shared" si="0"/>
        <v>3.8461538461538464E-2</v>
      </c>
      <c r="E11" s="34">
        <f t="shared" si="0"/>
        <v>3.6666666666666667E-2</v>
      </c>
      <c r="F11" s="34">
        <f t="shared" si="0"/>
        <v>0.08</v>
      </c>
      <c r="G11" s="34">
        <f t="shared" si="0"/>
        <v>7.1999999999999995E-2</v>
      </c>
      <c r="H11" s="34">
        <f t="shared" si="0"/>
        <v>8.7999999999999995E-2</v>
      </c>
      <c r="I11" s="34">
        <f t="shared" si="0"/>
        <v>2.6666666666666668E-2</v>
      </c>
      <c r="J11" s="34">
        <f t="shared" si="0"/>
        <v>3.3333333333333333E-2</v>
      </c>
      <c r="K11" s="34">
        <f t="shared" si="0"/>
        <v>4.3333333333333335E-2</v>
      </c>
      <c r="L11" s="34">
        <f t="shared" si="0"/>
        <v>3.6666666666666667E-2</v>
      </c>
      <c r="M11" s="34">
        <f t="shared" si="0"/>
        <v>2.6000000000000002E-2</v>
      </c>
      <c r="N11" s="34">
        <f t="shared" si="0"/>
        <v>0.02</v>
      </c>
      <c r="O11" s="34">
        <f t="shared" si="0"/>
        <v>3.2000000000000001E-2</v>
      </c>
      <c r="P11" s="35">
        <f t="shared" si="0"/>
        <v>3.2000000000000001E-2</v>
      </c>
      <c r="Q11" s="36"/>
      <c r="R11" s="37">
        <v>2024</v>
      </c>
      <c r="S11" s="38">
        <f>'[1]2024'!Salim</f>
        <v>0.15</v>
      </c>
      <c r="T11" s="38">
        <f>'[2]2024'!Salim</f>
        <v>0.16</v>
      </c>
      <c r="U11" s="38">
        <f>'[3]2024'!Salim</f>
        <v>0.1</v>
      </c>
      <c r="V11" s="38">
        <f>'[4]2024'!Salim</f>
        <v>0.11</v>
      </c>
      <c r="W11" s="38">
        <f>'[5]2024'!Salim</f>
        <v>0.2</v>
      </c>
      <c r="X11" s="38">
        <f>'[6]2024'!Salim</f>
        <v>0.18</v>
      </c>
      <c r="Y11" s="38">
        <f>'[7]2024'!Salim</f>
        <v>0.22</v>
      </c>
      <c r="Z11" s="38">
        <f>'[8]2024'!Salim</f>
        <v>0.08</v>
      </c>
      <c r="AA11" s="38">
        <f>'[9]2024'!Salim</f>
        <v>0.1</v>
      </c>
      <c r="AB11" s="38">
        <f>'[10]2024'!Salim</f>
        <v>0.13</v>
      </c>
      <c r="AC11" s="38">
        <f>'[11]2024'!Salim</f>
        <v>0.11</v>
      </c>
      <c r="AD11" s="38">
        <f>'[12]2024'!Salim</f>
        <v>6.5000000000000002E-2</v>
      </c>
      <c r="AE11" s="38">
        <f>'[13]2024'!Salim</f>
        <v>0.05</v>
      </c>
      <c r="AF11" s="38">
        <f>'[14]2024'!Salim</f>
        <v>0.08</v>
      </c>
      <c r="AG11" s="39">
        <f>'[15]2024'!Salim</f>
        <v>0.08</v>
      </c>
      <c r="AH11" s="40"/>
      <c r="AI11" s="37">
        <v>2024</v>
      </c>
      <c r="AJ11" s="41">
        <f>'[1]2024'!Tau_j/365</f>
        <v>2</v>
      </c>
      <c r="AK11" s="41">
        <f>'[2]2024'!Tau_j/365</f>
        <v>3</v>
      </c>
      <c r="AL11" s="41">
        <f>'[3]2024'!Tau_j/365</f>
        <v>2.6</v>
      </c>
      <c r="AM11" s="41">
        <f>'[4]2024'!Tau_j/365</f>
        <v>3</v>
      </c>
      <c r="AN11" s="41">
        <f>'[5]2024'!Tau_j/365</f>
        <v>2.5</v>
      </c>
      <c r="AO11" s="41">
        <f>'[6]2024'!Tau_j/365</f>
        <v>2.5</v>
      </c>
      <c r="AP11" s="41">
        <f>'[7]2024'!Tau_j/365</f>
        <v>2.5</v>
      </c>
      <c r="AQ11" s="41">
        <f>'[8]2024'!Tau_j/365</f>
        <v>3</v>
      </c>
      <c r="AR11" s="41">
        <f>'[9]2024'!Tau_j/365</f>
        <v>3</v>
      </c>
      <c r="AS11" s="41">
        <f>'[10]2024'!Tau_j/365</f>
        <v>3</v>
      </c>
      <c r="AT11" s="41">
        <f>'[11]2024'!Tau_j/365</f>
        <v>3</v>
      </c>
      <c r="AU11" s="41">
        <f>'[12]2024'!Tau_j/365</f>
        <v>2.5</v>
      </c>
      <c r="AV11" s="41">
        <f>'[13]2024'!Tau_j/365</f>
        <v>2.5</v>
      </c>
      <c r="AW11" s="41">
        <f>'[14]2024'!Tau_j/365</f>
        <v>2.5</v>
      </c>
      <c r="AX11" s="42">
        <f>'[15]2024'!Tau_j/365</f>
        <v>2.5</v>
      </c>
    </row>
    <row r="12" spans="1:50" s="43" customFormat="1" ht="12.75" x14ac:dyDescent="0.2">
      <c r="A12" s="33">
        <v>2025</v>
      </c>
      <c r="B12" s="34">
        <f t="shared" si="0"/>
        <v>7.4999999999999997E-2</v>
      </c>
      <c r="C12" s="34">
        <f t="shared" si="0"/>
        <v>5.3333333333333337E-2</v>
      </c>
      <c r="D12" s="34">
        <f t="shared" si="0"/>
        <v>3.8461538461538464E-2</v>
      </c>
      <c r="E12" s="34">
        <f t="shared" si="0"/>
        <v>3.6666666666666667E-2</v>
      </c>
      <c r="F12" s="34">
        <f t="shared" si="0"/>
        <v>0.08</v>
      </c>
      <c r="G12" s="34">
        <f t="shared" si="0"/>
        <v>7.1999999999999995E-2</v>
      </c>
      <c r="H12" s="34">
        <f t="shared" si="0"/>
        <v>8.7999999999999995E-2</v>
      </c>
      <c r="I12" s="34">
        <f t="shared" si="0"/>
        <v>2.6666666666666668E-2</v>
      </c>
      <c r="J12" s="34">
        <f t="shared" si="0"/>
        <v>3.3333333333333333E-2</v>
      </c>
      <c r="K12" s="34">
        <f t="shared" si="0"/>
        <v>4.3333333333333335E-2</v>
      </c>
      <c r="L12" s="34">
        <f t="shared" si="0"/>
        <v>3.6666666666666667E-2</v>
      </c>
      <c r="M12" s="34">
        <f t="shared" si="0"/>
        <v>2.6000000000000002E-2</v>
      </c>
      <c r="N12" s="34">
        <f t="shared" si="0"/>
        <v>0.02</v>
      </c>
      <c r="O12" s="34">
        <f t="shared" si="0"/>
        <v>3.2000000000000001E-2</v>
      </c>
      <c r="P12" s="35">
        <f t="shared" si="0"/>
        <v>3.2000000000000001E-2</v>
      </c>
      <c r="Q12" s="36"/>
      <c r="R12" s="37">
        <v>2025</v>
      </c>
      <c r="S12" s="38">
        <f>'[1]2025'!Salim</f>
        <v>0.15</v>
      </c>
      <c r="T12" s="38">
        <f>'[2]2025'!Salim</f>
        <v>0.16</v>
      </c>
      <c r="U12" s="38">
        <f>'[3]2025'!Salim</f>
        <v>0.1</v>
      </c>
      <c r="V12" s="38">
        <f>'[4]2025'!Salim</f>
        <v>0.11</v>
      </c>
      <c r="W12" s="38">
        <f>'[5]2025'!Salim</f>
        <v>0.2</v>
      </c>
      <c r="X12" s="38">
        <f>'[6]2025'!Salim</f>
        <v>0.18</v>
      </c>
      <c r="Y12" s="38">
        <f>'[7]2025'!Salim</f>
        <v>0.22</v>
      </c>
      <c r="Z12" s="38">
        <f>'[8]2025'!Salim</f>
        <v>0.08</v>
      </c>
      <c r="AA12" s="38">
        <f>'[9]2025'!Salim</f>
        <v>0.1</v>
      </c>
      <c r="AB12" s="38">
        <f>'[10]2025'!Salim</f>
        <v>0.13</v>
      </c>
      <c r="AC12" s="38">
        <f>'[11]2025'!Salim</f>
        <v>0.11</v>
      </c>
      <c r="AD12" s="38">
        <f>'[12]2025'!Salim</f>
        <v>6.5000000000000002E-2</v>
      </c>
      <c r="AE12" s="38">
        <f>'[13]2025'!Salim</f>
        <v>0.05</v>
      </c>
      <c r="AF12" s="38">
        <f>'[14]2025'!Salim</f>
        <v>0.08</v>
      </c>
      <c r="AG12" s="39">
        <f>'[15]2025'!Salim</f>
        <v>0.08</v>
      </c>
      <c r="AH12" s="40"/>
      <c r="AI12" s="37">
        <v>2025</v>
      </c>
      <c r="AJ12" s="41">
        <f>'[1]2025'!Tau_j/365</f>
        <v>2</v>
      </c>
      <c r="AK12" s="41">
        <f>'[2]2025'!Tau_j/365</f>
        <v>3</v>
      </c>
      <c r="AL12" s="41">
        <f>'[3]2025'!Tau_j/365</f>
        <v>2.6</v>
      </c>
      <c r="AM12" s="41">
        <f>'[4]2025'!Tau_j/365</f>
        <v>3</v>
      </c>
      <c r="AN12" s="41">
        <f>'[5]2025'!Tau_j/365</f>
        <v>2.5</v>
      </c>
      <c r="AO12" s="41">
        <f>'[6]2025'!Tau_j/365</f>
        <v>2.5</v>
      </c>
      <c r="AP12" s="41">
        <f>'[7]2025'!Tau_j/365</f>
        <v>2.5</v>
      </c>
      <c r="AQ12" s="41">
        <f>'[8]2025'!Tau_j/365</f>
        <v>3</v>
      </c>
      <c r="AR12" s="41">
        <f>'[9]2025'!Tau_j/365</f>
        <v>3</v>
      </c>
      <c r="AS12" s="41">
        <f>'[10]2025'!Tau_j/365</f>
        <v>3</v>
      </c>
      <c r="AT12" s="41">
        <f>'[11]2025'!Tau_j/365</f>
        <v>3</v>
      </c>
      <c r="AU12" s="41">
        <f>'[12]2025'!Tau_j/365</f>
        <v>2.5</v>
      </c>
      <c r="AV12" s="41">
        <f>'[13]2025'!Tau_j/365</f>
        <v>2.5</v>
      </c>
      <c r="AW12" s="41">
        <f>'[14]2025'!Tau_j/365</f>
        <v>2.5</v>
      </c>
      <c r="AX12" s="42">
        <f>'[15]2025'!Tau_j/365</f>
        <v>2.5</v>
      </c>
    </row>
    <row r="13" spans="1:50" s="43" customFormat="1" ht="12.75" x14ac:dyDescent="0.2">
      <c r="A13" s="33">
        <v>2026</v>
      </c>
      <c r="B13" s="34">
        <f t="shared" si="0"/>
        <v>7.4999999999999997E-2</v>
      </c>
      <c r="C13" s="34">
        <f t="shared" si="0"/>
        <v>5.3333333333333337E-2</v>
      </c>
      <c r="D13" s="34">
        <f t="shared" si="0"/>
        <v>3.8461538461538464E-2</v>
      </c>
      <c r="E13" s="34">
        <f t="shared" si="0"/>
        <v>3.6666666666666667E-2</v>
      </c>
      <c r="F13" s="34">
        <f t="shared" si="0"/>
        <v>0.08</v>
      </c>
      <c r="G13" s="34">
        <f t="shared" si="0"/>
        <v>7.1999999999999995E-2</v>
      </c>
      <c r="H13" s="34">
        <f t="shared" si="0"/>
        <v>8.7999999999999995E-2</v>
      </c>
      <c r="I13" s="34">
        <f t="shared" si="0"/>
        <v>2.6666666666666668E-2</v>
      </c>
      <c r="J13" s="34">
        <f t="shared" si="0"/>
        <v>3.3333333333333333E-2</v>
      </c>
      <c r="K13" s="34">
        <f t="shared" si="0"/>
        <v>4.3333333333333335E-2</v>
      </c>
      <c r="L13" s="34">
        <f t="shared" si="0"/>
        <v>3.6666666666666667E-2</v>
      </c>
      <c r="M13" s="34">
        <f t="shared" si="0"/>
        <v>2.6000000000000002E-2</v>
      </c>
      <c r="N13" s="34">
        <f t="shared" si="0"/>
        <v>0.02</v>
      </c>
      <c r="O13" s="34">
        <f t="shared" si="0"/>
        <v>3.2000000000000001E-2</v>
      </c>
      <c r="P13" s="35">
        <f t="shared" si="0"/>
        <v>3.2000000000000001E-2</v>
      </c>
      <c r="Q13" s="36"/>
      <c r="R13" s="37">
        <v>2026</v>
      </c>
      <c r="S13" s="38">
        <f>'[1]2026'!Salim</f>
        <v>0.15</v>
      </c>
      <c r="T13" s="38">
        <f>'[2]2026'!Salim</f>
        <v>0.16</v>
      </c>
      <c r="U13" s="38">
        <f>'[3]2026'!Salim</f>
        <v>0.1</v>
      </c>
      <c r="V13" s="38">
        <f>'[4]2026'!Salim</f>
        <v>0.11</v>
      </c>
      <c r="W13" s="38">
        <f>'[5]2026'!Salim</f>
        <v>0.2</v>
      </c>
      <c r="X13" s="38">
        <f>'[6]2026'!Salim</f>
        <v>0.18</v>
      </c>
      <c r="Y13" s="38">
        <f>'[7]2026'!Salim</f>
        <v>0.22</v>
      </c>
      <c r="Z13" s="38">
        <f>'[8]2026'!Salim</f>
        <v>0.08</v>
      </c>
      <c r="AA13" s="38">
        <f>'[9]2026'!Salim</f>
        <v>0.1</v>
      </c>
      <c r="AB13" s="38">
        <f>'[10]2026'!Salim</f>
        <v>0.13</v>
      </c>
      <c r="AC13" s="38">
        <f>'[11]2026'!Salim</f>
        <v>0.11</v>
      </c>
      <c r="AD13" s="38">
        <f>'[12]2026'!Salim</f>
        <v>6.5000000000000002E-2</v>
      </c>
      <c r="AE13" s="38">
        <f>'[13]2026'!Salim</f>
        <v>0.05</v>
      </c>
      <c r="AF13" s="38">
        <f>'[14]2026'!Salim</f>
        <v>0.08</v>
      </c>
      <c r="AG13" s="39">
        <f>'[15]2026'!Salim</f>
        <v>0.08</v>
      </c>
      <c r="AH13" s="40"/>
      <c r="AI13" s="37">
        <v>2026</v>
      </c>
      <c r="AJ13" s="41">
        <f>'[1]2026'!Tau_j/365</f>
        <v>2</v>
      </c>
      <c r="AK13" s="41">
        <f>'[2]2026'!Tau_j/365</f>
        <v>3</v>
      </c>
      <c r="AL13" s="41">
        <f>'[3]2026'!Tau_j/365</f>
        <v>2.6</v>
      </c>
      <c r="AM13" s="41">
        <f>'[4]2026'!Tau_j/365</f>
        <v>3</v>
      </c>
      <c r="AN13" s="41">
        <f>'[5]2026'!Tau_j/365</f>
        <v>2.5</v>
      </c>
      <c r="AO13" s="41">
        <f>'[6]2026'!Tau_j/365</f>
        <v>2.5</v>
      </c>
      <c r="AP13" s="41">
        <f>'[7]2026'!Tau_j/365</f>
        <v>2.5</v>
      </c>
      <c r="AQ13" s="41">
        <f>'[8]2026'!Tau_j/365</f>
        <v>3</v>
      </c>
      <c r="AR13" s="41">
        <f>'[9]2026'!Tau_j/365</f>
        <v>3</v>
      </c>
      <c r="AS13" s="41">
        <f>'[10]2026'!Tau_j/365</f>
        <v>3</v>
      </c>
      <c r="AT13" s="41">
        <f>'[11]2026'!Tau_j/365</f>
        <v>3</v>
      </c>
      <c r="AU13" s="41">
        <f>'[12]2026'!Tau_j/365</f>
        <v>2.5</v>
      </c>
      <c r="AV13" s="41">
        <f>'[13]2026'!Tau_j/365</f>
        <v>2.5</v>
      </c>
      <c r="AW13" s="41">
        <f>'[14]2026'!Tau_j/365</f>
        <v>2.5</v>
      </c>
      <c r="AX13" s="42">
        <f>'[15]2026'!Tau_j/365</f>
        <v>2.5</v>
      </c>
    </row>
    <row r="14" spans="1:50" s="43" customFormat="1" ht="12.75" x14ac:dyDescent="0.2">
      <c r="A14" s="44">
        <v>2027</v>
      </c>
      <c r="B14" s="45">
        <f t="shared" si="0"/>
        <v>7.4999999999999997E-2</v>
      </c>
      <c r="C14" s="45">
        <f t="shared" si="0"/>
        <v>5.3333333333333337E-2</v>
      </c>
      <c r="D14" s="45">
        <f t="shared" si="0"/>
        <v>3.8461538461538464E-2</v>
      </c>
      <c r="E14" s="45">
        <f t="shared" si="0"/>
        <v>3.6666666666666667E-2</v>
      </c>
      <c r="F14" s="45">
        <f t="shared" si="0"/>
        <v>0.08</v>
      </c>
      <c r="G14" s="45">
        <f t="shared" si="0"/>
        <v>7.1999999999999995E-2</v>
      </c>
      <c r="H14" s="45">
        <f t="shared" si="0"/>
        <v>8.7999999999999995E-2</v>
      </c>
      <c r="I14" s="45">
        <f t="shared" si="0"/>
        <v>2.6666666666666668E-2</v>
      </c>
      <c r="J14" s="45">
        <f t="shared" si="0"/>
        <v>3.3333333333333333E-2</v>
      </c>
      <c r="K14" s="45">
        <f t="shared" si="0"/>
        <v>4.3333333333333335E-2</v>
      </c>
      <c r="L14" s="45">
        <f t="shared" si="0"/>
        <v>3.6666666666666667E-2</v>
      </c>
      <c r="M14" s="45">
        <f t="shared" si="0"/>
        <v>2.6000000000000002E-2</v>
      </c>
      <c r="N14" s="45">
        <f t="shared" si="0"/>
        <v>0.02</v>
      </c>
      <c r="O14" s="45">
        <f t="shared" si="0"/>
        <v>3.2000000000000001E-2</v>
      </c>
      <c r="P14" s="46">
        <f t="shared" si="0"/>
        <v>3.2000000000000001E-2</v>
      </c>
      <c r="Q14" s="36"/>
      <c r="R14" s="47">
        <v>2027</v>
      </c>
      <c r="S14" s="48">
        <f>'[1]2027'!Salim</f>
        <v>0.15</v>
      </c>
      <c r="T14" s="48">
        <f>'[2]2027'!Salim</f>
        <v>0.16</v>
      </c>
      <c r="U14" s="48">
        <f>'[3]2027'!Salim</f>
        <v>0.1</v>
      </c>
      <c r="V14" s="48">
        <f>'[4]2027'!Salim</f>
        <v>0.11</v>
      </c>
      <c r="W14" s="48">
        <f>'[5]2027'!Salim</f>
        <v>0.2</v>
      </c>
      <c r="X14" s="48">
        <f>'[6]2027'!Salim</f>
        <v>0.18</v>
      </c>
      <c r="Y14" s="48">
        <f>'[7]2027'!Salim</f>
        <v>0.22</v>
      </c>
      <c r="Z14" s="48">
        <f>'[8]2027'!Salim</f>
        <v>0.08</v>
      </c>
      <c r="AA14" s="48">
        <f>'[9]2027'!Salim</f>
        <v>0.1</v>
      </c>
      <c r="AB14" s="48">
        <f>'[10]2027'!Salim</f>
        <v>0.13</v>
      </c>
      <c r="AC14" s="48">
        <f>'[11]2027'!Salim</f>
        <v>0.11</v>
      </c>
      <c r="AD14" s="48">
        <f>'[12]2027'!Salim</f>
        <v>6.5000000000000002E-2</v>
      </c>
      <c r="AE14" s="48">
        <f>'[13]2027'!Salim</f>
        <v>0.05</v>
      </c>
      <c r="AF14" s="48">
        <f>'[14]2027'!Salim</f>
        <v>0.08</v>
      </c>
      <c r="AG14" s="49">
        <f>'[15]2027'!Salim</f>
        <v>0.08</v>
      </c>
      <c r="AH14" s="40"/>
      <c r="AI14" s="47">
        <v>2027</v>
      </c>
      <c r="AJ14" s="50">
        <f>'[1]2027'!Tau_j/365</f>
        <v>2</v>
      </c>
      <c r="AK14" s="50">
        <f>'[2]2027'!Tau_j/365</f>
        <v>3</v>
      </c>
      <c r="AL14" s="50">
        <f>'[3]2027'!Tau_j/365</f>
        <v>2.6</v>
      </c>
      <c r="AM14" s="50">
        <f>'[4]2027'!Tau_j/365</f>
        <v>3</v>
      </c>
      <c r="AN14" s="50">
        <f>'[5]2027'!Tau_j/365</f>
        <v>2.5</v>
      </c>
      <c r="AO14" s="50">
        <f>'[6]2027'!Tau_j/365</f>
        <v>2.5</v>
      </c>
      <c r="AP14" s="50">
        <f>'[7]2027'!Tau_j/365</f>
        <v>2.5</v>
      </c>
      <c r="AQ14" s="50">
        <f>'[8]2027'!Tau_j/365</f>
        <v>3</v>
      </c>
      <c r="AR14" s="50">
        <f>'[9]2027'!Tau_j/365</f>
        <v>3</v>
      </c>
      <c r="AS14" s="50">
        <f>'[10]2027'!Tau_j/365</f>
        <v>3</v>
      </c>
      <c r="AT14" s="50">
        <f>'[11]2027'!Tau_j/365</f>
        <v>3</v>
      </c>
      <c r="AU14" s="50">
        <f>'[12]2027'!Tau_j/365</f>
        <v>2.5</v>
      </c>
      <c r="AV14" s="50">
        <f>'[13]2027'!Tau_j/365</f>
        <v>2.5</v>
      </c>
      <c r="AW14" s="50">
        <f>'[14]2027'!Tau_j/365</f>
        <v>2.5</v>
      </c>
      <c r="AX14" s="51">
        <f>'[15]2027'!Tau_j/365</f>
        <v>2.5</v>
      </c>
    </row>
    <row r="15" spans="1:50" ht="7.5" customHeight="1" x14ac:dyDescent="0.3">
      <c r="A15" s="1"/>
      <c r="R15" s="52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4"/>
      <c r="AW15" s="4"/>
      <c r="AX15" s="4"/>
    </row>
    <row r="16" spans="1:50" ht="15.75" x14ac:dyDescent="0.25">
      <c r="A16" s="55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56" t="s">
        <v>21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0"/>
      <c r="AI16" s="56" t="s">
        <v>22</v>
      </c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</row>
    <row r="17" spans="1:50" s="15" customFormat="1" ht="33.75" x14ac:dyDescent="0.2">
      <c r="A17" s="11" t="s">
        <v>4</v>
      </c>
      <c r="B17" s="12" t="s">
        <v>5</v>
      </c>
      <c r="C17" s="12" t="s">
        <v>6</v>
      </c>
      <c r="D17" s="12" t="s">
        <v>7</v>
      </c>
      <c r="E17" s="12" t="s">
        <v>8</v>
      </c>
      <c r="F17" s="12" t="s">
        <v>9</v>
      </c>
      <c r="G17" s="12" t="s">
        <v>10</v>
      </c>
      <c r="H17" s="12" t="s">
        <v>11</v>
      </c>
      <c r="I17" s="12" t="s">
        <v>12</v>
      </c>
      <c r="J17" s="12" t="s">
        <v>13</v>
      </c>
      <c r="K17" s="12" t="s">
        <v>14</v>
      </c>
      <c r="L17" s="12" t="s">
        <v>15</v>
      </c>
      <c r="M17" s="12" t="s">
        <v>16</v>
      </c>
      <c r="N17" s="12" t="s">
        <v>17</v>
      </c>
      <c r="O17" s="12" t="s">
        <v>18</v>
      </c>
      <c r="P17" s="12" t="s">
        <v>19</v>
      </c>
      <c r="Q17" s="13"/>
      <c r="R17" s="11" t="s">
        <v>4</v>
      </c>
      <c r="S17" s="12" t="s">
        <v>5</v>
      </c>
      <c r="T17" s="12" t="s">
        <v>6</v>
      </c>
      <c r="U17" s="12" t="s">
        <v>7</v>
      </c>
      <c r="V17" s="12" t="s">
        <v>8</v>
      </c>
      <c r="W17" s="12" t="s">
        <v>9</v>
      </c>
      <c r="X17" s="12" t="s">
        <v>10</v>
      </c>
      <c r="Y17" s="12" t="s">
        <v>11</v>
      </c>
      <c r="Z17" s="12" t="s">
        <v>12</v>
      </c>
      <c r="AA17" s="12" t="s">
        <v>13</v>
      </c>
      <c r="AB17" s="12" t="s">
        <v>14</v>
      </c>
      <c r="AC17" s="12" t="s">
        <v>15</v>
      </c>
      <c r="AD17" s="12" t="s">
        <v>16</v>
      </c>
      <c r="AE17" s="12" t="s">
        <v>17</v>
      </c>
      <c r="AF17" s="12" t="s">
        <v>18</v>
      </c>
      <c r="AG17" s="12" t="s">
        <v>19</v>
      </c>
      <c r="AH17" s="14"/>
      <c r="AI17" s="11" t="s">
        <v>4</v>
      </c>
      <c r="AJ17" s="12" t="s">
        <v>5</v>
      </c>
      <c r="AK17" s="12" t="s">
        <v>6</v>
      </c>
      <c r="AL17" s="12" t="s">
        <v>7</v>
      </c>
      <c r="AM17" s="12" t="s">
        <v>8</v>
      </c>
      <c r="AN17" s="12" t="s">
        <v>9</v>
      </c>
      <c r="AO17" s="12" t="s">
        <v>10</v>
      </c>
      <c r="AP17" s="12" t="s">
        <v>11</v>
      </c>
      <c r="AQ17" s="12" t="s">
        <v>12</v>
      </c>
      <c r="AR17" s="12" t="s">
        <v>13</v>
      </c>
      <c r="AS17" s="12" t="s">
        <v>14</v>
      </c>
      <c r="AT17" s="12" t="s">
        <v>15</v>
      </c>
      <c r="AU17" s="12" t="s">
        <v>16</v>
      </c>
      <c r="AV17" s="12" t="s">
        <v>17</v>
      </c>
      <c r="AW17" s="12" t="s">
        <v>18</v>
      </c>
      <c r="AX17" s="12" t="s">
        <v>19</v>
      </c>
    </row>
    <row r="18" spans="1:50" s="68" customFormat="1" ht="12.75" x14ac:dyDescent="0.2">
      <c r="A18" s="16">
        <v>2018</v>
      </c>
      <c r="B18" s="58">
        <f t="shared" ref="B18:P27" si="1">+S18*AJ18</f>
        <v>0.35</v>
      </c>
      <c r="C18" s="58">
        <f t="shared" si="1"/>
        <v>0.35</v>
      </c>
      <c r="D18" s="58">
        <f t="shared" si="1"/>
        <v>0.15</v>
      </c>
      <c r="E18" s="58">
        <f t="shared" si="1"/>
        <v>0.25</v>
      </c>
      <c r="F18" s="59">
        <f t="shared" si="1"/>
        <v>0.48</v>
      </c>
      <c r="G18" s="58">
        <f t="shared" si="1"/>
        <v>0.28000000000000008</v>
      </c>
      <c r="H18" s="60">
        <f t="shared" si="1"/>
        <v>0.63000000000000023</v>
      </c>
      <c r="I18" s="58"/>
      <c r="J18" s="58"/>
      <c r="K18" s="58"/>
      <c r="L18" s="58"/>
      <c r="M18" s="58"/>
      <c r="N18" s="58"/>
      <c r="O18" s="58"/>
      <c r="P18" s="61"/>
      <c r="Q18" s="62"/>
      <c r="R18" s="21">
        <v>2018</v>
      </c>
      <c r="S18" s="63">
        <f>'[1]2018'!PousH</f>
        <v>0.5</v>
      </c>
      <c r="T18" s="63">
        <f>'[2]2018'!PousH</f>
        <v>0.5</v>
      </c>
      <c r="U18" s="63">
        <f>'[3]2018'!PousH</f>
        <v>0.3</v>
      </c>
      <c r="V18" s="63">
        <f>'[4]2018'!PousH</f>
        <v>0.5</v>
      </c>
      <c r="W18" s="63">
        <f>'[5]2018'!PousH</f>
        <v>0.6</v>
      </c>
      <c r="X18" s="63">
        <f>'[6]2018'!PousH</f>
        <v>0.40000000000000013</v>
      </c>
      <c r="Y18" s="63">
        <f>'[7]2018'!PousH</f>
        <v>0.70000000000000018</v>
      </c>
      <c r="Z18" s="63"/>
      <c r="AA18" s="63"/>
      <c r="AB18" s="63"/>
      <c r="AC18" s="63"/>
      <c r="AD18" s="63"/>
      <c r="AE18" s="63"/>
      <c r="AF18" s="63"/>
      <c r="AG18" s="64"/>
      <c r="AH18" s="65"/>
      <c r="AI18" s="21">
        <v>2018</v>
      </c>
      <c r="AJ18" s="66">
        <f>'[1]2018'!Df</f>
        <v>0.7</v>
      </c>
      <c r="AK18" s="66">
        <f>'[2]2018'!Df</f>
        <v>0.7</v>
      </c>
      <c r="AL18" s="66">
        <f>'[3]2018'!Df</f>
        <v>0.5</v>
      </c>
      <c r="AM18" s="66">
        <f>'[4]2018'!Df</f>
        <v>0.5</v>
      </c>
      <c r="AN18" s="66">
        <f>'[5]2018'!Df</f>
        <v>0.8</v>
      </c>
      <c r="AO18" s="66">
        <f>'[6]2018'!Df</f>
        <v>0.7</v>
      </c>
      <c r="AP18" s="66">
        <f>'[7]2018'!Df</f>
        <v>0.9</v>
      </c>
      <c r="AQ18" s="66"/>
      <c r="AR18" s="66"/>
      <c r="AS18" s="66"/>
      <c r="AT18" s="66"/>
      <c r="AU18" s="66"/>
      <c r="AV18" s="66"/>
      <c r="AW18" s="66"/>
      <c r="AX18" s="67"/>
    </row>
    <row r="19" spans="1:50" s="68" customFormat="1" ht="12.75" x14ac:dyDescent="0.2">
      <c r="A19" s="16">
        <v>2019</v>
      </c>
      <c r="B19" s="58">
        <f t="shared" si="1"/>
        <v>0.27921279108491615</v>
      </c>
      <c r="C19" s="58">
        <f t="shared" si="1"/>
        <v>0.35</v>
      </c>
      <c r="D19" s="58">
        <f t="shared" si="1"/>
        <v>0.15</v>
      </c>
      <c r="E19" s="58">
        <f t="shared" si="1"/>
        <v>0.25</v>
      </c>
      <c r="F19" s="59">
        <f t="shared" si="1"/>
        <v>0.48</v>
      </c>
      <c r="G19" s="58">
        <f t="shared" si="1"/>
        <v>0.28000000000000008</v>
      </c>
      <c r="H19" s="60">
        <f t="shared" si="1"/>
        <v>0.63000000000000023</v>
      </c>
      <c r="I19" s="58">
        <f t="shared" si="1"/>
        <v>0.27999999999999997</v>
      </c>
      <c r="J19" s="58"/>
      <c r="K19" s="58"/>
      <c r="L19" s="58"/>
      <c r="M19" s="58"/>
      <c r="N19" s="58"/>
      <c r="O19" s="58"/>
      <c r="P19" s="69"/>
      <c r="Q19" s="62"/>
      <c r="R19" s="21">
        <v>2019</v>
      </c>
      <c r="S19" s="63">
        <f>'[1]2019'!PousH</f>
        <v>0.39887541583559449</v>
      </c>
      <c r="T19" s="63">
        <f>'[2]2019'!PousH</f>
        <v>0.5</v>
      </c>
      <c r="U19" s="63">
        <f>'[3]2019'!PousH</f>
        <v>0.3</v>
      </c>
      <c r="V19" s="63">
        <f>'[4]2019'!PousH</f>
        <v>0.5</v>
      </c>
      <c r="W19" s="63">
        <f>'[5]2019'!PousH</f>
        <v>0.6</v>
      </c>
      <c r="X19" s="63">
        <f>'[6]2019'!PousH</f>
        <v>0.40000000000000013</v>
      </c>
      <c r="Y19" s="63">
        <f>'[7]2019'!PousH</f>
        <v>0.70000000000000018</v>
      </c>
      <c r="Z19" s="63">
        <f>'[8]2019'!PousH</f>
        <v>0.4</v>
      </c>
      <c r="AA19" s="63">
        <f>'[9]2019'!PousH</f>
        <v>0.5</v>
      </c>
      <c r="AB19" s="63">
        <f>'[10]2019'!PousH</f>
        <v>0.5</v>
      </c>
      <c r="AC19" s="63"/>
      <c r="AD19" s="63"/>
      <c r="AE19" s="63"/>
      <c r="AF19" s="63"/>
      <c r="AG19" s="70"/>
      <c r="AH19" s="65"/>
      <c r="AI19" s="21">
        <v>2019</v>
      </c>
      <c r="AJ19" s="66">
        <f>'[1]2019'!Df</f>
        <v>0.7</v>
      </c>
      <c r="AK19" s="66">
        <f>'[2]2019'!Df</f>
        <v>0.7</v>
      </c>
      <c r="AL19" s="66">
        <f>'[3]2019'!Df</f>
        <v>0.5</v>
      </c>
      <c r="AM19" s="66">
        <f>'[4]2019'!Df</f>
        <v>0.5</v>
      </c>
      <c r="AN19" s="66">
        <f>'[5]2019'!Df</f>
        <v>0.8</v>
      </c>
      <c r="AO19" s="66">
        <f>'[6]2019'!Df</f>
        <v>0.7</v>
      </c>
      <c r="AP19" s="66">
        <f>'[7]2019'!Df</f>
        <v>0.9</v>
      </c>
      <c r="AQ19" s="66">
        <f>'[8]2019'!Df</f>
        <v>0.7</v>
      </c>
      <c r="AR19" s="66">
        <f>'[9]2019'!Df</f>
        <v>0.6</v>
      </c>
      <c r="AS19" s="66">
        <f>'[10]2019'!Df</f>
        <v>0.6</v>
      </c>
      <c r="AT19" s="66"/>
      <c r="AU19" s="66"/>
      <c r="AV19" s="66"/>
      <c r="AW19" s="66"/>
      <c r="AX19" s="71"/>
    </row>
    <row r="20" spans="1:50" s="68" customFormat="1" ht="12.75" x14ac:dyDescent="0.2">
      <c r="A20" s="16">
        <v>2020</v>
      </c>
      <c r="B20" s="58">
        <f t="shared" si="1"/>
        <v>0.21000004329917024</v>
      </c>
      <c r="C20" s="58">
        <f t="shared" si="1"/>
        <v>0.35</v>
      </c>
      <c r="D20" s="58">
        <f t="shared" si="1"/>
        <v>0.15</v>
      </c>
      <c r="E20" s="58">
        <f t="shared" si="1"/>
        <v>0.25</v>
      </c>
      <c r="F20" s="59">
        <f t="shared" si="1"/>
        <v>0.48</v>
      </c>
      <c r="G20" s="58">
        <f t="shared" si="1"/>
        <v>0.28000000000000008</v>
      </c>
      <c r="H20" s="60">
        <f t="shared" si="1"/>
        <v>0.63000000000000023</v>
      </c>
      <c r="I20" s="58">
        <f t="shared" si="1"/>
        <v>0.27999999999999997</v>
      </c>
      <c r="J20" s="58">
        <f t="shared" si="1"/>
        <v>0.3</v>
      </c>
      <c r="K20" s="58">
        <f t="shared" si="1"/>
        <v>0.3</v>
      </c>
      <c r="L20" s="58">
        <f t="shared" si="1"/>
        <v>0.35</v>
      </c>
      <c r="M20" s="58">
        <f t="shared" si="1"/>
        <v>0.35</v>
      </c>
      <c r="N20" s="58">
        <f t="shared" si="1"/>
        <v>0.35</v>
      </c>
      <c r="O20" s="58"/>
      <c r="P20" s="69"/>
      <c r="Q20" s="62"/>
      <c r="R20" s="21">
        <v>2020</v>
      </c>
      <c r="S20" s="63">
        <f>'[1]2020'!PousH</f>
        <v>0.30000006185595751</v>
      </c>
      <c r="T20" s="63">
        <f>'[2]2020'!PousH</f>
        <v>0.5</v>
      </c>
      <c r="U20" s="63">
        <f>'[3]2020'!PousH</f>
        <v>0.3</v>
      </c>
      <c r="V20" s="63">
        <f>'[4]2020'!PousH</f>
        <v>0.5</v>
      </c>
      <c r="W20" s="63">
        <f>'[5]2020'!PousH</f>
        <v>0.6</v>
      </c>
      <c r="X20" s="63">
        <f>'[6]2020'!PousH</f>
        <v>0.40000000000000013</v>
      </c>
      <c r="Y20" s="63">
        <f>'[7]2020'!PousH</f>
        <v>0.70000000000000018</v>
      </c>
      <c r="Z20" s="63">
        <f>'[8]2020'!PousH</f>
        <v>0.4</v>
      </c>
      <c r="AA20" s="63">
        <f>'[9]2020'!PousH</f>
        <v>0.5</v>
      </c>
      <c r="AB20" s="63">
        <f>'[10]2020'!PousH</f>
        <v>0.5</v>
      </c>
      <c r="AC20" s="63">
        <f>'[11]2020'!PousH</f>
        <v>0.5</v>
      </c>
      <c r="AD20" s="63">
        <f>'[12]2020'!PousH</f>
        <v>0.5</v>
      </c>
      <c r="AE20" s="63">
        <f>'[13]2020'!PousH</f>
        <v>0.5</v>
      </c>
      <c r="AF20" s="63"/>
      <c r="AG20" s="70"/>
      <c r="AH20" s="65"/>
      <c r="AI20" s="21">
        <v>2020</v>
      </c>
      <c r="AJ20" s="66">
        <f>'[1]2020'!Df</f>
        <v>0.7</v>
      </c>
      <c r="AK20" s="66">
        <f>'[2]2020'!Df</f>
        <v>0.7</v>
      </c>
      <c r="AL20" s="66">
        <f>'[3]2020'!Df</f>
        <v>0.5</v>
      </c>
      <c r="AM20" s="66">
        <f>'[4]2020'!Df</f>
        <v>0.5</v>
      </c>
      <c r="AN20" s="66">
        <f>'[5]2020'!Df</f>
        <v>0.8</v>
      </c>
      <c r="AO20" s="66">
        <f>'[6]2020'!Df</f>
        <v>0.7</v>
      </c>
      <c r="AP20" s="66">
        <f>'[7]2020'!Df</f>
        <v>0.9</v>
      </c>
      <c r="AQ20" s="66">
        <f>'[8]2020'!Df</f>
        <v>0.7</v>
      </c>
      <c r="AR20" s="66">
        <f>'[9]2020'!Df</f>
        <v>0.6</v>
      </c>
      <c r="AS20" s="66">
        <f>'[10]2020'!Df</f>
        <v>0.6</v>
      </c>
      <c r="AT20" s="66">
        <f>'[11]2020'!Df</f>
        <v>0.7</v>
      </c>
      <c r="AU20" s="66">
        <f>'[12]2020'!Df</f>
        <v>0.7</v>
      </c>
      <c r="AV20" s="66">
        <f>'[13]2020'!Df</f>
        <v>0.7</v>
      </c>
      <c r="AW20" s="66"/>
      <c r="AX20" s="71"/>
    </row>
    <row r="21" spans="1:50" s="68" customFormat="1" ht="12.75" x14ac:dyDescent="0.2">
      <c r="A21" s="16">
        <v>2021</v>
      </c>
      <c r="B21" s="58">
        <f t="shared" si="1"/>
        <v>0.21000004329917024</v>
      </c>
      <c r="C21" s="58">
        <f t="shared" si="1"/>
        <v>0.35</v>
      </c>
      <c r="D21" s="58">
        <f t="shared" si="1"/>
        <v>0.15</v>
      </c>
      <c r="E21" s="58">
        <f t="shared" si="1"/>
        <v>0.25</v>
      </c>
      <c r="F21" s="59">
        <f t="shared" si="1"/>
        <v>0.48000000000000009</v>
      </c>
      <c r="G21" s="58">
        <f t="shared" si="1"/>
        <v>0.28000000000000008</v>
      </c>
      <c r="H21" s="60">
        <f t="shared" si="1"/>
        <v>0.54020190388950351</v>
      </c>
      <c r="I21" s="58">
        <f t="shared" si="1"/>
        <v>0.27999999999999997</v>
      </c>
      <c r="J21" s="58">
        <f t="shared" si="1"/>
        <v>0.3</v>
      </c>
      <c r="K21" s="58">
        <f t="shared" si="1"/>
        <v>0.3</v>
      </c>
      <c r="L21" s="58">
        <f t="shared" si="1"/>
        <v>0.35</v>
      </c>
      <c r="M21" s="58">
        <f t="shared" si="1"/>
        <v>0.35</v>
      </c>
      <c r="N21" s="58">
        <f t="shared" si="1"/>
        <v>0.35</v>
      </c>
      <c r="O21" s="58"/>
      <c r="P21" s="69"/>
      <c r="Q21" s="62"/>
      <c r="R21" s="21">
        <v>2021</v>
      </c>
      <c r="S21" s="63">
        <f>'[1]2021'!PousH</f>
        <v>0.30000006185595751</v>
      </c>
      <c r="T21" s="63">
        <f>'[2]2021'!PousH</f>
        <v>0.5</v>
      </c>
      <c r="U21" s="63">
        <f>'[3]2021'!PousH</f>
        <v>0.3</v>
      </c>
      <c r="V21" s="63">
        <f>'[4]2021'!PousH</f>
        <v>0.5</v>
      </c>
      <c r="W21" s="63">
        <f>'[5]2021'!PousH</f>
        <v>0.60000000000000009</v>
      </c>
      <c r="X21" s="63">
        <f>'[6]2021'!PousH</f>
        <v>0.40000000000000013</v>
      </c>
      <c r="Y21" s="63">
        <f>'[7]2021'!PousH</f>
        <v>0.60022433765500383</v>
      </c>
      <c r="Z21" s="63">
        <f>'[8]2021'!PousH</f>
        <v>0.4</v>
      </c>
      <c r="AA21" s="63">
        <f>'[9]2021'!PousH</f>
        <v>0.5</v>
      </c>
      <c r="AB21" s="63">
        <f>'[10]2021'!PousH</f>
        <v>0.5</v>
      </c>
      <c r="AC21" s="63">
        <f>'[11]2021'!PousH</f>
        <v>0.5</v>
      </c>
      <c r="AD21" s="63">
        <f>'[12]2021'!PousH</f>
        <v>0.5</v>
      </c>
      <c r="AE21" s="63">
        <f>'[13]2021'!PousH</f>
        <v>0.5</v>
      </c>
      <c r="AF21" s="63"/>
      <c r="AG21" s="70"/>
      <c r="AH21" s="65"/>
      <c r="AI21" s="21">
        <v>2021</v>
      </c>
      <c r="AJ21" s="66">
        <f>'[1]2021'!Df</f>
        <v>0.7</v>
      </c>
      <c r="AK21" s="66">
        <f>'[2]2021'!Df</f>
        <v>0.7</v>
      </c>
      <c r="AL21" s="66">
        <f>'[3]2021'!Df</f>
        <v>0.5</v>
      </c>
      <c r="AM21" s="66">
        <f>'[4]2021'!Df</f>
        <v>0.5</v>
      </c>
      <c r="AN21" s="66">
        <f>'[5]2021'!Df</f>
        <v>0.8</v>
      </c>
      <c r="AO21" s="66">
        <f>'[6]2021'!Df</f>
        <v>0.7</v>
      </c>
      <c r="AP21" s="66">
        <f>'[7]2021'!Df</f>
        <v>0.9</v>
      </c>
      <c r="AQ21" s="66">
        <f>'[8]2021'!Df</f>
        <v>0.7</v>
      </c>
      <c r="AR21" s="66">
        <f>'[9]2021'!Df</f>
        <v>0.6</v>
      </c>
      <c r="AS21" s="66">
        <f>'[10]2021'!Df</f>
        <v>0.6</v>
      </c>
      <c r="AT21" s="66">
        <f>'[11]2021'!Df</f>
        <v>0.7</v>
      </c>
      <c r="AU21" s="66">
        <f>'[12]2021'!Df</f>
        <v>0.7</v>
      </c>
      <c r="AV21" s="66">
        <f>'[13]2021'!Df</f>
        <v>0.7</v>
      </c>
      <c r="AW21" s="66"/>
      <c r="AX21" s="71"/>
    </row>
    <row r="22" spans="1:50" s="68" customFormat="1" ht="12.75" x14ac:dyDescent="0.2">
      <c r="A22" s="16">
        <v>2022</v>
      </c>
      <c r="B22" s="58">
        <f t="shared" si="1"/>
        <v>0.21000004329917024</v>
      </c>
      <c r="C22" s="58">
        <f t="shared" si="1"/>
        <v>0.35</v>
      </c>
      <c r="D22" s="58">
        <f t="shared" si="1"/>
        <v>0.15000000000000002</v>
      </c>
      <c r="E22" s="58">
        <f t="shared" si="1"/>
        <v>0.25</v>
      </c>
      <c r="F22" s="59">
        <f t="shared" si="1"/>
        <v>0.48000000000000009</v>
      </c>
      <c r="G22" s="58">
        <f t="shared" si="1"/>
        <v>0.28000000000000008</v>
      </c>
      <c r="H22" s="60">
        <f t="shared" si="1"/>
        <v>0.54020190388950351</v>
      </c>
      <c r="I22" s="58">
        <f t="shared" si="1"/>
        <v>0.27999999999999997</v>
      </c>
      <c r="J22" s="58">
        <f t="shared" si="1"/>
        <v>0.3</v>
      </c>
      <c r="K22" s="58">
        <f t="shared" si="1"/>
        <v>0.3</v>
      </c>
      <c r="L22" s="58">
        <f t="shared" si="1"/>
        <v>0.35</v>
      </c>
      <c r="M22" s="58">
        <f t="shared" si="1"/>
        <v>0.35</v>
      </c>
      <c r="N22" s="58">
        <f t="shared" si="1"/>
        <v>0.35</v>
      </c>
      <c r="O22" s="58">
        <f t="shared" si="1"/>
        <v>0.25</v>
      </c>
      <c r="P22" s="69">
        <f t="shared" si="1"/>
        <v>0.25</v>
      </c>
      <c r="Q22" s="62"/>
      <c r="R22" s="21">
        <v>2022</v>
      </c>
      <c r="S22" s="63">
        <f>'[1]2022'!PousH</f>
        <v>0.30000006185595751</v>
      </c>
      <c r="T22" s="63">
        <f>'[2]2022'!PousH</f>
        <v>0.5</v>
      </c>
      <c r="U22" s="63">
        <f>'[3]2022'!PousH</f>
        <v>0.30000000000000004</v>
      </c>
      <c r="V22" s="63">
        <f>'[4]2022'!PousH</f>
        <v>0.5</v>
      </c>
      <c r="W22" s="63">
        <f>'[5]2022'!PousH</f>
        <v>0.60000000000000009</v>
      </c>
      <c r="X22" s="63">
        <f>'[6]2022'!PousH</f>
        <v>0.40000000000000013</v>
      </c>
      <c r="Y22" s="63">
        <f>'[7]2022'!PousH</f>
        <v>0.60022433765500383</v>
      </c>
      <c r="Z22" s="63">
        <f>'[8]2022'!PousH</f>
        <v>0.4</v>
      </c>
      <c r="AA22" s="63">
        <f>'[9]2022'!PousH</f>
        <v>0.5</v>
      </c>
      <c r="AB22" s="63">
        <f>'[10]2022'!PousH</f>
        <v>0.5</v>
      </c>
      <c r="AC22" s="63">
        <f>'[11]2022'!PousH</f>
        <v>0.5</v>
      </c>
      <c r="AD22" s="63">
        <f>'[12]2022'!PousH</f>
        <v>0.5</v>
      </c>
      <c r="AE22" s="63">
        <f>'[13]2022'!PousH</f>
        <v>0.5</v>
      </c>
      <c r="AF22" s="63">
        <f>'[14]2022'!PousH</f>
        <v>0.5</v>
      </c>
      <c r="AG22" s="70">
        <f>'[15]2022'!PousH</f>
        <v>0.5</v>
      </c>
      <c r="AH22" s="65"/>
      <c r="AI22" s="21">
        <v>2022</v>
      </c>
      <c r="AJ22" s="66">
        <f>'[1]2022'!Df</f>
        <v>0.7</v>
      </c>
      <c r="AK22" s="66">
        <f>'[2]2022'!Df</f>
        <v>0.7</v>
      </c>
      <c r="AL22" s="66">
        <f>'[3]2022'!Df</f>
        <v>0.5</v>
      </c>
      <c r="AM22" s="66">
        <f>'[4]2022'!Df</f>
        <v>0.5</v>
      </c>
      <c r="AN22" s="66">
        <f>'[5]2022'!Df</f>
        <v>0.8</v>
      </c>
      <c r="AO22" s="66">
        <f>'[6]2022'!Df</f>
        <v>0.7</v>
      </c>
      <c r="AP22" s="66">
        <f>'[7]2022'!Df</f>
        <v>0.9</v>
      </c>
      <c r="AQ22" s="66">
        <f>'[8]2022'!Df</f>
        <v>0.7</v>
      </c>
      <c r="AR22" s="66">
        <f>'[9]2022'!Df</f>
        <v>0.6</v>
      </c>
      <c r="AS22" s="66">
        <f>'[10]2022'!Df</f>
        <v>0.6</v>
      </c>
      <c r="AT22" s="66">
        <f>'[11]2022'!Df</f>
        <v>0.7</v>
      </c>
      <c r="AU22" s="66">
        <f>'[12]2022'!Df</f>
        <v>0.7</v>
      </c>
      <c r="AV22" s="66">
        <f>'[13]2022'!Df</f>
        <v>0.7</v>
      </c>
      <c r="AW22" s="66">
        <f>'[14]2022'!Df</f>
        <v>0.5</v>
      </c>
      <c r="AX22" s="71">
        <f>'[15]2022'!Df</f>
        <v>0.5</v>
      </c>
    </row>
    <row r="23" spans="1:50" s="80" customFormat="1" ht="12.75" x14ac:dyDescent="0.2">
      <c r="A23" s="33">
        <v>2023</v>
      </c>
      <c r="B23" s="72">
        <f t="shared" si="1"/>
        <v>0.21000004329917024</v>
      </c>
      <c r="C23" s="72">
        <f t="shared" si="1"/>
        <v>0.35</v>
      </c>
      <c r="D23" s="72">
        <f t="shared" si="1"/>
        <v>0.15000000000000002</v>
      </c>
      <c r="E23" s="72">
        <f t="shared" si="1"/>
        <v>0.25</v>
      </c>
      <c r="F23" s="73">
        <f t="shared" si="1"/>
        <v>0.48</v>
      </c>
      <c r="G23" s="72">
        <f t="shared" si="1"/>
        <v>0.28000000000000003</v>
      </c>
      <c r="H23" s="74">
        <f t="shared" si="1"/>
        <v>0.54020190388950351</v>
      </c>
      <c r="I23" s="72">
        <f t="shared" si="1"/>
        <v>0.27999999999999997</v>
      </c>
      <c r="J23" s="72">
        <f t="shared" si="1"/>
        <v>0.3</v>
      </c>
      <c r="K23" s="72">
        <f t="shared" si="1"/>
        <v>0.3</v>
      </c>
      <c r="L23" s="72">
        <f t="shared" si="1"/>
        <v>0.35</v>
      </c>
      <c r="M23" s="72">
        <f t="shared" si="1"/>
        <v>0.35</v>
      </c>
      <c r="N23" s="72">
        <f t="shared" si="1"/>
        <v>0.35</v>
      </c>
      <c r="O23" s="72">
        <f t="shared" si="1"/>
        <v>0.24999999999999997</v>
      </c>
      <c r="P23" s="75">
        <f t="shared" si="1"/>
        <v>0.25</v>
      </c>
      <c r="Q23" s="76"/>
      <c r="R23" s="37">
        <v>2023</v>
      </c>
      <c r="S23" s="77">
        <f>'[1]2023'!PousH</f>
        <v>0.30000006185595751</v>
      </c>
      <c r="T23" s="77">
        <f>'[2]2023'!PousH</f>
        <v>0.5</v>
      </c>
      <c r="U23" s="77">
        <f>'[3]2023'!PousH</f>
        <v>0.30000000000000004</v>
      </c>
      <c r="V23" s="77">
        <f>'[4]2023'!PousH</f>
        <v>0.5</v>
      </c>
      <c r="W23" s="77">
        <f>'[5]2023'!PousH</f>
        <v>0.6</v>
      </c>
      <c r="X23" s="77">
        <f>'[6]2023'!PousH</f>
        <v>0.40000000000000008</v>
      </c>
      <c r="Y23" s="77">
        <f>'[7]2023'!PousH</f>
        <v>0.60022433765500394</v>
      </c>
      <c r="Z23" s="77">
        <f>'[8]2023'!PousH</f>
        <v>0.39999999999999997</v>
      </c>
      <c r="AA23" s="77">
        <f>'[9]2023'!PousH</f>
        <v>0.5</v>
      </c>
      <c r="AB23" s="77">
        <f>'[10]2023'!PousH</f>
        <v>0.5</v>
      </c>
      <c r="AC23" s="77">
        <f>'[11]2023'!PousH</f>
        <v>0.5</v>
      </c>
      <c r="AD23" s="77">
        <f>'[12]2023'!PousH</f>
        <v>0.5</v>
      </c>
      <c r="AE23" s="77">
        <f>'[13]2023'!PousH</f>
        <v>0.5</v>
      </c>
      <c r="AF23" s="77">
        <f>'[14]2023'!PousH</f>
        <v>0.49999999999999994</v>
      </c>
      <c r="AG23" s="78">
        <f>'[15]2023'!PousH</f>
        <v>0.5</v>
      </c>
      <c r="AH23" s="79"/>
      <c r="AI23" s="37">
        <v>2023</v>
      </c>
      <c r="AJ23" s="38">
        <f>'[1]2023'!Df</f>
        <v>0.7</v>
      </c>
      <c r="AK23" s="38">
        <f>'[2]2023'!Df</f>
        <v>0.7</v>
      </c>
      <c r="AL23" s="38">
        <f>'[3]2023'!Df</f>
        <v>0.5</v>
      </c>
      <c r="AM23" s="38">
        <f>'[4]2023'!Df</f>
        <v>0.5</v>
      </c>
      <c r="AN23" s="38">
        <f>'[5]2023'!Df</f>
        <v>0.8</v>
      </c>
      <c r="AO23" s="38">
        <f>'[6]2023'!Df</f>
        <v>0.7</v>
      </c>
      <c r="AP23" s="38">
        <f>'[7]2023'!Df</f>
        <v>0.9</v>
      </c>
      <c r="AQ23" s="38">
        <f>'[8]2023'!Df</f>
        <v>0.7</v>
      </c>
      <c r="AR23" s="38">
        <f>'[9]2023'!Df</f>
        <v>0.6</v>
      </c>
      <c r="AS23" s="38">
        <f>'[10]2023'!Df</f>
        <v>0.6</v>
      </c>
      <c r="AT23" s="38">
        <f>'[11]2023'!Df</f>
        <v>0.7</v>
      </c>
      <c r="AU23" s="38">
        <f>'[12]2023'!Df</f>
        <v>0.7</v>
      </c>
      <c r="AV23" s="38">
        <f>'[13]2023'!Df</f>
        <v>0.7</v>
      </c>
      <c r="AW23" s="38">
        <f>'[14]2023'!Df</f>
        <v>0.5</v>
      </c>
      <c r="AX23" s="39">
        <f>'[15]2023'!Df</f>
        <v>0.5</v>
      </c>
    </row>
    <row r="24" spans="1:50" s="80" customFormat="1" ht="12.75" x14ac:dyDescent="0.2">
      <c r="A24" s="33">
        <v>2024</v>
      </c>
      <c r="B24" s="72">
        <f t="shared" si="1"/>
        <v>0.35</v>
      </c>
      <c r="C24" s="72">
        <f t="shared" si="1"/>
        <v>0.35</v>
      </c>
      <c r="D24" s="72">
        <f t="shared" si="1"/>
        <v>0.15000000000000002</v>
      </c>
      <c r="E24" s="72">
        <f t="shared" si="1"/>
        <v>0.25</v>
      </c>
      <c r="F24" s="73">
        <f t="shared" si="1"/>
        <v>0.48000000000000009</v>
      </c>
      <c r="G24" s="72">
        <f t="shared" si="1"/>
        <v>0.27999999999999992</v>
      </c>
      <c r="H24" s="74">
        <f t="shared" si="1"/>
        <v>0.63</v>
      </c>
      <c r="I24" s="72">
        <f t="shared" si="1"/>
        <v>0.27999999999999992</v>
      </c>
      <c r="J24" s="72">
        <f t="shared" si="1"/>
        <v>0.3</v>
      </c>
      <c r="K24" s="72">
        <f t="shared" si="1"/>
        <v>0.3</v>
      </c>
      <c r="L24" s="72">
        <f t="shared" si="1"/>
        <v>0.35</v>
      </c>
      <c r="M24" s="72">
        <f t="shared" si="1"/>
        <v>0.35</v>
      </c>
      <c r="N24" s="72">
        <f t="shared" si="1"/>
        <v>0.35</v>
      </c>
      <c r="O24" s="72">
        <f t="shared" si="1"/>
        <v>0.25</v>
      </c>
      <c r="P24" s="75">
        <f t="shared" si="1"/>
        <v>0.24999999999999994</v>
      </c>
      <c r="Q24" s="76"/>
      <c r="R24" s="37">
        <v>2024</v>
      </c>
      <c r="S24" s="77">
        <f>'[1]2024'!PousH</f>
        <v>0.5</v>
      </c>
      <c r="T24" s="77">
        <f>'[2]2024'!PousH</f>
        <v>0.5</v>
      </c>
      <c r="U24" s="77">
        <f>'[3]2024'!PousH</f>
        <v>0.30000000000000004</v>
      </c>
      <c r="V24" s="77">
        <f>'[4]2024'!PousH</f>
        <v>0.5</v>
      </c>
      <c r="W24" s="77">
        <f>'[5]2024'!PousH</f>
        <v>0.60000000000000009</v>
      </c>
      <c r="X24" s="77">
        <f>'[6]2024'!PousH</f>
        <v>0.39999999999999991</v>
      </c>
      <c r="Y24" s="77">
        <f>'[7]2024'!PousH</f>
        <v>0.7</v>
      </c>
      <c r="Z24" s="77">
        <f>'[8]2024'!PousH</f>
        <v>0.39999999999999991</v>
      </c>
      <c r="AA24" s="77">
        <f>'[9]2024'!PousH</f>
        <v>0.5</v>
      </c>
      <c r="AB24" s="77">
        <f>'[10]2024'!PousH</f>
        <v>0.5</v>
      </c>
      <c r="AC24" s="77">
        <f>'[11]2024'!PousH</f>
        <v>0.5</v>
      </c>
      <c r="AD24" s="77">
        <f>'[12]2024'!PousH</f>
        <v>0.5</v>
      </c>
      <c r="AE24" s="77">
        <f>'[13]2024'!PousH</f>
        <v>0.5</v>
      </c>
      <c r="AF24" s="77">
        <f>'[14]2024'!PousH</f>
        <v>0.5</v>
      </c>
      <c r="AG24" s="78">
        <f>'[15]2024'!PousH</f>
        <v>0.49999999999999989</v>
      </c>
      <c r="AH24" s="79"/>
      <c r="AI24" s="37">
        <v>2024</v>
      </c>
      <c r="AJ24" s="38">
        <f>'[1]2024'!Df</f>
        <v>0.7</v>
      </c>
      <c r="AK24" s="38">
        <f>'[2]2024'!Df</f>
        <v>0.7</v>
      </c>
      <c r="AL24" s="38">
        <f>'[3]2024'!Df</f>
        <v>0.5</v>
      </c>
      <c r="AM24" s="38">
        <f>'[4]2024'!Df</f>
        <v>0.5</v>
      </c>
      <c r="AN24" s="38">
        <f>'[5]2024'!Df</f>
        <v>0.8</v>
      </c>
      <c r="AO24" s="38">
        <f>'[6]2024'!Df</f>
        <v>0.7</v>
      </c>
      <c r="AP24" s="38">
        <f>'[7]2024'!Df</f>
        <v>0.9</v>
      </c>
      <c r="AQ24" s="38">
        <f>'[8]2024'!Df</f>
        <v>0.7</v>
      </c>
      <c r="AR24" s="38">
        <f>'[9]2024'!Df</f>
        <v>0.6</v>
      </c>
      <c r="AS24" s="38">
        <f>'[10]2024'!Df</f>
        <v>0.6</v>
      </c>
      <c r="AT24" s="38">
        <f>'[11]2024'!Df</f>
        <v>0.7</v>
      </c>
      <c r="AU24" s="38">
        <f>'[12]2024'!Df</f>
        <v>0.7</v>
      </c>
      <c r="AV24" s="38">
        <f>'[13]2024'!Df</f>
        <v>0.7</v>
      </c>
      <c r="AW24" s="38">
        <f>'[14]2024'!Df</f>
        <v>0.5</v>
      </c>
      <c r="AX24" s="39">
        <f>'[15]2024'!Df</f>
        <v>0.5</v>
      </c>
    </row>
    <row r="25" spans="1:50" s="80" customFormat="1" ht="12.75" x14ac:dyDescent="0.2">
      <c r="A25" s="33">
        <v>2025</v>
      </c>
      <c r="B25" s="72">
        <f t="shared" si="1"/>
        <v>0.35</v>
      </c>
      <c r="C25" s="72">
        <f t="shared" si="1"/>
        <v>0.35</v>
      </c>
      <c r="D25" s="72">
        <f t="shared" si="1"/>
        <v>0.15000000000000002</v>
      </c>
      <c r="E25" s="72">
        <f t="shared" si="1"/>
        <v>0.25</v>
      </c>
      <c r="F25" s="73">
        <f t="shared" si="1"/>
        <v>0.48000000000000009</v>
      </c>
      <c r="G25" s="72">
        <f t="shared" si="1"/>
        <v>0.27999999999999992</v>
      </c>
      <c r="H25" s="74">
        <f t="shared" si="1"/>
        <v>0.63</v>
      </c>
      <c r="I25" s="72">
        <f t="shared" si="1"/>
        <v>0.28000000000000008</v>
      </c>
      <c r="J25" s="72">
        <f t="shared" si="1"/>
        <v>0.3</v>
      </c>
      <c r="K25" s="72">
        <f t="shared" si="1"/>
        <v>0.3</v>
      </c>
      <c r="L25" s="72">
        <f t="shared" si="1"/>
        <v>0.35</v>
      </c>
      <c r="M25" s="72">
        <f t="shared" si="1"/>
        <v>0.35</v>
      </c>
      <c r="N25" s="72">
        <f t="shared" si="1"/>
        <v>0.35000000000000014</v>
      </c>
      <c r="O25" s="72">
        <f t="shared" si="1"/>
        <v>0.25</v>
      </c>
      <c r="P25" s="75">
        <f t="shared" si="1"/>
        <v>0.24999999999999989</v>
      </c>
      <c r="Q25" s="76"/>
      <c r="R25" s="37">
        <v>2025</v>
      </c>
      <c r="S25" s="77">
        <f>'[1]2025'!PousH</f>
        <v>0.5</v>
      </c>
      <c r="T25" s="77">
        <f>'[2]2025'!PousH</f>
        <v>0.5</v>
      </c>
      <c r="U25" s="77">
        <f>'[3]2025'!PousH</f>
        <v>0.30000000000000004</v>
      </c>
      <c r="V25" s="77">
        <f>'[4]2025'!PousH</f>
        <v>0.5</v>
      </c>
      <c r="W25" s="77">
        <f>'[5]2025'!PousH</f>
        <v>0.60000000000000009</v>
      </c>
      <c r="X25" s="77">
        <f>'[6]2025'!PousH</f>
        <v>0.39999999999999991</v>
      </c>
      <c r="Y25" s="77">
        <f>'[7]2025'!PousH</f>
        <v>0.7</v>
      </c>
      <c r="Z25" s="77">
        <f>'[8]2025'!PousH</f>
        <v>0.40000000000000013</v>
      </c>
      <c r="AA25" s="77">
        <f>'[9]2025'!PousH</f>
        <v>0.5</v>
      </c>
      <c r="AB25" s="77">
        <f>'[10]2025'!PousH</f>
        <v>0.5</v>
      </c>
      <c r="AC25" s="77">
        <f>'[11]2025'!PousH</f>
        <v>0.5</v>
      </c>
      <c r="AD25" s="77">
        <f>'[12]2025'!PousH</f>
        <v>0.5</v>
      </c>
      <c r="AE25" s="77">
        <f>'[13]2025'!PousH</f>
        <v>0.50000000000000022</v>
      </c>
      <c r="AF25" s="77">
        <f>'[14]2025'!PousH</f>
        <v>0.5</v>
      </c>
      <c r="AG25" s="78">
        <f>'[15]2025'!PousH</f>
        <v>0.49999999999999978</v>
      </c>
      <c r="AH25" s="79"/>
      <c r="AI25" s="37">
        <v>2025</v>
      </c>
      <c r="AJ25" s="38">
        <f>'[1]2025'!Df</f>
        <v>0.7</v>
      </c>
      <c r="AK25" s="38">
        <f>'[2]2025'!Df</f>
        <v>0.7</v>
      </c>
      <c r="AL25" s="38">
        <f>'[3]2025'!Df</f>
        <v>0.5</v>
      </c>
      <c r="AM25" s="38">
        <f>'[4]2025'!Df</f>
        <v>0.5</v>
      </c>
      <c r="AN25" s="38">
        <f>'[5]2025'!Df</f>
        <v>0.8</v>
      </c>
      <c r="AO25" s="38">
        <f>'[6]2025'!Df</f>
        <v>0.7</v>
      </c>
      <c r="AP25" s="38">
        <f>'[7]2025'!Df</f>
        <v>0.9</v>
      </c>
      <c r="AQ25" s="38">
        <f>'[8]2025'!Df</f>
        <v>0.7</v>
      </c>
      <c r="AR25" s="38">
        <f>'[9]2025'!Df</f>
        <v>0.6</v>
      </c>
      <c r="AS25" s="38">
        <f>'[10]2025'!Df</f>
        <v>0.6</v>
      </c>
      <c r="AT25" s="38">
        <f>'[11]2025'!Df</f>
        <v>0.7</v>
      </c>
      <c r="AU25" s="38">
        <f>'[12]2025'!Df</f>
        <v>0.7</v>
      </c>
      <c r="AV25" s="38">
        <f>'[13]2025'!Df</f>
        <v>0.7</v>
      </c>
      <c r="AW25" s="38">
        <f>'[14]2025'!Df</f>
        <v>0.5</v>
      </c>
      <c r="AX25" s="39">
        <f>'[15]2025'!Df</f>
        <v>0.5</v>
      </c>
    </row>
    <row r="26" spans="1:50" s="80" customFormat="1" ht="12.75" x14ac:dyDescent="0.2">
      <c r="A26" s="33">
        <v>2026</v>
      </c>
      <c r="B26" s="72">
        <f t="shared" si="1"/>
        <v>0.35</v>
      </c>
      <c r="C26" s="72">
        <f t="shared" si="1"/>
        <v>0.35</v>
      </c>
      <c r="D26" s="72">
        <f t="shared" si="1"/>
        <v>0.15</v>
      </c>
      <c r="E26" s="72">
        <f t="shared" si="1"/>
        <v>0.25</v>
      </c>
      <c r="F26" s="73">
        <f t="shared" si="1"/>
        <v>0.48000000000000009</v>
      </c>
      <c r="G26" s="72">
        <f t="shared" si="1"/>
        <v>0.27999999999999997</v>
      </c>
      <c r="H26" s="74">
        <f t="shared" si="1"/>
        <v>0.63</v>
      </c>
      <c r="I26" s="72">
        <f t="shared" si="1"/>
        <v>0.28000000000000008</v>
      </c>
      <c r="J26" s="72">
        <f t="shared" si="1"/>
        <v>0.3</v>
      </c>
      <c r="K26" s="72">
        <f t="shared" si="1"/>
        <v>0.3</v>
      </c>
      <c r="L26" s="72">
        <f t="shared" si="1"/>
        <v>0.35</v>
      </c>
      <c r="M26" s="72">
        <f t="shared" si="1"/>
        <v>0.35</v>
      </c>
      <c r="N26" s="72">
        <f t="shared" si="1"/>
        <v>0.35</v>
      </c>
      <c r="O26" s="72">
        <f t="shared" si="1"/>
        <v>0.25</v>
      </c>
      <c r="P26" s="75">
        <f t="shared" si="1"/>
        <v>0.24999999999999989</v>
      </c>
      <c r="Q26" s="76"/>
      <c r="R26" s="37">
        <v>2026</v>
      </c>
      <c r="S26" s="77">
        <f>'[1]2026'!PousH</f>
        <v>0.5</v>
      </c>
      <c r="T26" s="77">
        <f>'[2]2026'!PousH</f>
        <v>0.5</v>
      </c>
      <c r="U26" s="77">
        <f>'[3]2026'!PousH</f>
        <v>0.3</v>
      </c>
      <c r="V26" s="77">
        <f>'[4]2026'!PousH</f>
        <v>0.5</v>
      </c>
      <c r="W26" s="77">
        <f>'[5]2026'!PousH</f>
        <v>0.60000000000000009</v>
      </c>
      <c r="X26" s="77">
        <f>'[6]2026'!PousH</f>
        <v>0.4</v>
      </c>
      <c r="Y26" s="77">
        <f>'[7]2026'!PousH</f>
        <v>0.7</v>
      </c>
      <c r="Z26" s="77">
        <f>'[8]2026'!PousH</f>
        <v>0.40000000000000013</v>
      </c>
      <c r="AA26" s="77">
        <f>'[9]2026'!PousH</f>
        <v>0.5</v>
      </c>
      <c r="AB26" s="77">
        <f>'[10]2026'!PousH</f>
        <v>0.5</v>
      </c>
      <c r="AC26" s="77">
        <f>'[11]2026'!PousH</f>
        <v>0.5</v>
      </c>
      <c r="AD26" s="77">
        <f>'[12]2026'!PousH</f>
        <v>0.5</v>
      </c>
      <c r="AE26" s="77">
        <f>'[13]2026'!PousH</f>
        <v>0.5</v>
      </c>
      <c r="AF26" s="77">
        <f>'[14]2026'!PousH</f>
        <v>0.5</v>
      </c>
      <c r="AG26" s="78">
        <f>'[15]2026'!PousH</f>
        <v>0.49999999999999978</v>
      </c>
      <c r="AH26" s="79"/>
      <c r="AI26" s="37">
        <v>2026</v>
      </c>
      <c r="AJ26" s="38">
        <f>'[1]2026'!Df</f>
        <v>0.7</v>
      </c>
      <c r="AK26" s="38">
        <f>'[2]2026'!Df</f>
        <v>0.7</v>
      </c>
      <c r="AL26" s="38">
        <f>'[3]2026'!Df</f>
        <v>0.5</v>
      </c>
      <c r="AM26" s="38">
        <f>'[4]2026'!Df</f>
        <v>0.5</v>
      </c>
      <c r="AN26" s="38">
        <f>'[5]2026'!Df</f>
        <v>0.8</v>
      </c>
      <c r="AO26" s="38">
        <f>'[6]2026'!Df</f>
        <v>0.7</v>
      </c>
      <c r="AP26" s="38">
        <f>'[7]2026'!Df</f>
        <v>0.9</v>
      </c>
      <c r="AQ26" s="38">
        <f>'[8]2026'!Df</f>
        <v>0.7</v>
      </c>
      <c r="AR26" s="38">
        <f>'[9]2026'!Df</f>
        <v>0.6</v>
      </c>
      <c r="AS26" s="38">
        <f>'[10]2026'!Df</f>
        <v>0.6</v>
      </c>
      <c r="AT26" s="38">
        <f>'[11]2026'!Df</f>
        <v>0.7</v>
      </c>
      <c r="AU26" s="38">
        <f>'[12]2026'!Df</f>
        <v>0.7</v>
      </c>
      <c r="AV26" s="38">
        <f>'[13]2026'!Df</f>
        <v>0.7</v>
      </c>
      <c r="AW26" s="38">
        <f>'[14]2026'!Df</f>
        <v>0.5</v>
      </c>
      <c r="AX26" s="39">
        <f>'[15]2026'!Df</f>
        <v>0.5</v>
      </c>
    </row>
    <row r="27" spans="1:50" s="80" customFormat="1" ht="12.75" x14ac:dyDescent="0.2">
      <c r="A27" s="44">
        <v>2027</v>
      </c>
      <c r="B27" s="81">
        <f t="shared" si="1"/>
        <v>0.35</v>
      </c>
      <c r="C27" s="81">
        <f t="shared" si="1"/>
        <v>0.35</v>
      </c>
      <c r="D27" s="81">
        <f t="shared" si="1"/>
        <v>0.15</v>
      </c>
      <c r="E27" s="81">
        <f t="shared" si="1"/>
        <v>0.25</v>
      </c>
      <c r="F27" s="82">
        <f t="shared" si="1"/>
        <v>0.48000000000000009</v>
      </c>
      <c r="G27" s="81">
        <f t="shared" si="1"/>
        <v>0.27999999999999997</v>
      </c>
      <c r="H27" s="83">
        <f t="shared" si="1"/>
        <v>0.63</v>
      </c>
      <c r="I27" s="81">
        <f t="shared" si="1"/>
        <v>0.27999999999999997</v>
      </c>
      <c r="J27" s="81">
        <f t="shared" si="1"/>
        <v>0.3</v>
      </c>
      <c r="K27" s="81">
        <f t="shared" si="1"/>
        <v>0.3</v>
      </c>
      <c r="L27" s="81">
        <f t="shared" si="1"/>
        <v>0.35</v>
      </c>
      <c r="M27" s="81">
        <f t="shared" si="1"/>
        <v>0.35</v>
      </c>
      <c r="N27" s="81">
        <f t="shared" si="1"/>
        <v>0.35</v>
      </c>
      <c r="O27" s="81">
        <f t="shared" si="1"/>
        <v>0.25</v>
      </c>
      <c r="P27" s="84">
        <f t="shared" si="1"/>
        <v>0.24999999999999978</v>
      </c>
      <c r="Q27" s="76"/>
      <c r="R27" s="47">
        <v>2027</v>
      </c>
      <c r="S27" s="85">
        <f>'[1]2027'!PousH</f>
        <v>0.5</v>
      </c>
      <c r="T27" s="85">
        <f>'[2]2027'!PousH</f>
        <v>0.5</v>
      </c>
      <c r="U27" s="85">
        <f>'[3]2027'!PousH</f>
        <v>0.3</v>
      </c>
      <c r="V27" s="85">
        <f>'[4]2027'!PousH</f>
        <v>0.5</v>
      </c>
      <c r="W27" s="85">
        <f>'[5]2027'!PousH</f>
        <v>0.60000000000000009</v>
      </c>
      <c r="X27" s="85">
        <f>'[6]2027'!PousH</f>
        <v>0.4</v>
      </c>
      <c r="Y27" s="85">
        <f>'[7]2027'!PousH</f>
        <v>0.7</v>
      </c>
      <c r="Z27" s="85">
        <f>'[8]2027'!PousH</f>
        <v>0.4</v>
      </c>
      <c r="AA27" s="85">
        <f>'[9]2027'!PousH</f>
        <v>0.5</v>
      </c>
      <c r="AB27" s="85">
        <f>'[10]2027'!PousH</f>
        <v>0.5</v>
      </c>
      <c r="AC27" s="85">
        <f>'[11]2027'!PousH</f>
        <v>0.5</v>
      </c>
      <c r="AD27" s="85">
        <f>'[12]2027'!PousH</f>
        <v>0.5</v>
      </c>
      <c r="AE27" s="85">
        <f>'[13]2027'!PousH</f>
        <v>0.5</v>
      </c>
      <c r="AF27" s="85">
        <f>'[14]2027'!PousH</f>
        <v>0.5</v>
      </c>
      <c r="AG27" s="86">
        <f>'[15]2027'!PousH</f>
        <v>0.49999999999999956</v>
      </c>
      <c r="AH27" s="79"/>
      <c r="AI27" s="47">
        <v>2027</v>
      </c>
      <c r="AJ27" s="48">
        <f>'[1]2027'!Df</f>
        <v>0.7</v>
      </c>
      <c r="AK27" s="48">
        <f>'[2]2027'!Df</f>
        <v>0.7</v>
      </c>
      <c r="AL27" s="48">
        <f>'[3]2027'!Df</f>
        <v>0.5</v>
      </c>
      <c r="AM27" s="48">
        <f>'[4]2027'!Df</f>
        <v>0.5</v>
      </c>
      <c r="AN27" s="48">
        <f>'[5]2027'!Df</f>
        <v>0.8</v>
      </c>
      <c r="AO27" s="48">
        <f>'[6]2027'!Df</f>
        <v>0.7</v>
      </c>
      <c r="AP27" s="48">
        <f>'[7]2027'!Df</f>
        <v>0.9</v>
      </c>
      <c r="AQ27" s="48">
        <f>'[8]2027'!Df</f>
        <v>0.7</v>
      </c>
      <c r="AR27" s="48">
        <f>'[9]2027'!Df</f>
        <v>0.6</v>
      </c>
      <c r="AS27" s="48">
        <f>'[10]2027'!Df</f>
        <v>0.6</v>
      </c>
      <c r="AT27" s="48">
        <f>'[11]2027'!Df</f>
        <v>0.7</v>
      </c>
      <c r="AU27" s="48">
        <f>'[12]2027'!Df</f>
        <v>0.7</v>
      </c>
      <c r="AV27" s="48">
        <f>'[13]2027'!Df</f>
        <v>0.7</v>
      </c>
      <c r="AW27" s="48">
        <f>'[14]2027'!Df</f>
        <v>0.5</v>
      </c>
      <c r="AX27" s="49">
        <f>'[15]2027'!Df</f>
        <v>0.5</v>
      </c>
    </row>
    <row r="28" spans="1:50" ht="7.5" customHeight="1" x14ac:dyDescent="0.3">
      <c r="A28" s="1"/>
      <c r="R28" s="52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H28" s="54"/>
    </row>
    <row r="29" spans="1:50" ht="15.75" x14ac:dyDescent="0.25">
      <c r="A29" s="87" t="s">
        <v>23</v>
      </c>
    </row>
    <row r="30" spans="1:50" s="15" customFormat="1" ht="33.75" x14ac:dyDescent="0.2">
      <c r="A30" s="88" t="s">
        <v>4</v>
      </c>
      <c r="B30" s="12" t="s">
        <v>5</v>
      </c>
      <c r="C30" s="12" t="s">
        <v>6</v>
      </c>
      <c r="D30" s="12" t="s">
        <v>7</v>
      </c>
      <c r="E30" s="12" t="s">
        <v>8</v>
      </c>
      <c r="F30" s="12" t="s">
        <v>9</v>
      </c>
      <c r="G30" s="12" t="s">
        <v>10</v>
      </c>
      <c r="H30" s="12" t="s">
        <v>11</v>
      </c>
      <c r="I30" s="12" t="s">
        <v>12</v>
      </c>
      <c r="J30" s="12" t="s">
        <v>13</v>
      </c>
      <c r="K30" s="12" t="s">
        <v>14</v>
      </c>
      <c r="L30" s="12" t="s">
        <v>15</v>
      </c>
      <c r="M30" s="12" t="s">
        <v>16</v>
      </c>
      <c r="N30" s="12" t="s">
        <v>17</v>
      </c>
      <c r="O30" s="12" t="s">
        <v>18</v>
      </c>
      <c r="P30" s="12" t="s">
        <v>19</v>
      </c>
      <c r="Q30" s="89"/>
      <c r="S30" s="4"/>
      <c r="T30" s="4" t="s">
        <v>24</v>
      </c>
      <c r="U30" s="52" t="s">
        <v>25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s="15" customFormat="1" x14ac:dyDescent="0.25">
      <c r="A31" s="90" t="s">
        <v>26</v>
      </c>
      <c r="B31" s="91">
        <f>[1]!PertePVan</f>
        <v>8.0000000000000002E-3</v>
      </c>
      <c r="C31" s="91">
        <f>[2]!PertePVan</f>
        <v>8.0000000000000002E-3</v>
      </c>
      <c r="D31" s="91">
        <f>[3]!PertePVan</f>
        <v>8.0000000000000002E-3</v>
      </c>
      <c r="E31" s="91">
        <f>[4]!PertePVan</f>
        <v>8.0000000000000002E-3</v>
      </c>
      <c r="F31" s="92">
        <f>[5]!PertePVan</f>
        <v>8.5000000000000006E-3</v>
      </c>
      <c r="G31" s="92">
        <f>[6]!PertePVan</f>
        <v>8.5000000000000006E-3</v>
      </c>
      <c r="H31" s="92">
        <f>[7]!PertePVan</f>
        <v>8.5000000000000006E-3</v>
      </c>
      <c r="I31" s="93">
        <f>[8]!PertePVan</f>
        <v>7.0000000000000001E-3</v>
      </c>
      <c r="J31" s="93">
        <f>[9]!PertePVan</f>
        <v>7.0000000000000001E-3</v>
      </c>
      <c r="K31" s="93">
        <f>[10]!PertePVan</f>
        <v>7.0000000000000001E-3</v>
      </c>
      <c r="L31" s="93">
        <f>[11]!PertePVan</f>
        <v>5.4999999999999997E-3</v>
      </c>
      <c r="M31" s="93">
        <f>[12]!PertePVan</f>
        <v>5.4999999999999997E-3</v>
      </c>
      <c r="N31" s="93">
        <f>[13]!PertePVan</f>
        <v>3.0000000000000001E-3</v>
      </c>
      <c r="O31" s="93">
        <f>[14]!PertePVan</f>
        <v>5.0000000000000001E-3</v>
      </c>
      <c r="P31" s="93">
        <f>[15]!PertePVan</f>
        <v>5.0000000000000001E-3</v>
      </c>
      <c r="Q31" s="94"/>
      <c r="S31" s="435" t="s">
        <v>27</v>
      </c>
      <c r="T31" s="436"/>
      <c r="U31" s="95" t="s">
        <v>28</v>
      </c>
      <c r="W31" s="96"/>
      <c r="X31" s="96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s="102" customFormat="1" ht="12.75" x14ac:dyDescent="0.2">
      <c r="A32" s="97">
        <v>2018</v>
      </c>
      <c r="B32" s="98">
        <f>'[1]2018'!Pspv</f>
        <v>0</v>
      </c>
      <c r="C32" s="99">
        <f>'[2]2018'!Pspv</f>
        <v>0</v>
      </c>
      <c r="D32" s="99">
        <f>'[3]2018'!Pspv</f>
        <v>0</v>
      </c>
      <c r="E32" s="99">
        <f>'[4]2018'!Pspv</f>
        <v>0</v>
      </c>
      <c r="F32" s="99">
        <f>'[5]2018'!Pspv</f>
        <v>0</v>
      </c>
      <c r="G32" s="99">
        <f>'[6]2018'!Pspv</f>
        <v>0</v>
      </c>
      <c r="H32" s="99">
        <f>'[7]2018'!Pspv</f>
        <v>0</v>
      </c>
      <c r="I32" s="99"/>
      <c r="J32" s="99"/>
      <c r="K32" s="99"/>
      <c r="L32" s="99"/>
      <c r="M32" s="99"/>
      <c r="N32" s="99"/>
      <c r="O32" s="99"/>
      <c r="P32" s="100"/>
      <c r="Q32" s="101"/>
      <c r="S32" s="435" t="s">
        <v>29</v>
      </c>
      <c r="T32" s="436" t="s">
        <v>29</v>
      </c>
      <c r="U32" s="95" t="s">
        <v>30</v>
      </c>
      <c r="W32" s="103"/>
      <c r="X32" s="103"/>
    </row>
    <row r="33" spans="1:50" s="102" customFormat="1" ht="12.75" x14ac:dyDescent="0.2">
      <c r="A33" s="97">
        <v>2019</v>
      </c>
      <c r="B33" s="104">
        <f>'[1]2019'!Pspv</f>
        <v>0</v>
      </c>
      <c r="C33" s="105">
        <f>'[2]2019'!Pspv</f>
        <v>0</v>
      </c>
      <c r="D33" s="105">
        <f>'[3]2019'!Pspv</f>
        <v>0</v>
      </c>
      <c r="E33" s="105">
        <f>'[4]2019'!Pspv</f>
        <v>0</v>
      </c>
      <c r="F33" s="105">
        <f>'[5]2019'!Pspv</f>
        <v>0</v>
      </c>
      <c r="G33" s="105">
        <f>'[6]2019'!Pspv</f>
        <v>0</v>
      </c>
      <c r="H33" s="105">
        <f>'[7]2019'!Pspv</f>
        <v>0</v>
      </c>
      <c r="I33" s="105">
        <f>'[8]2019'!Pspv</f>
        <v>0</v>
      </c>
      <c r="J33" s="105">
        <f>'[9]2019'!Pspv</f>
        <v>0</v>
      </c>
      <c r="K33" s="105">
        <f>'[10]2019'!Pspv</f>
        <v>0</v>
      </c>
      <c r="L33" s="105"/>
      <c r="M33" s="105"/>
      <c r="N33" s="105"/>
      <c r="O33" s="105"/>
      <c r="P33" s="106"/>
      <c r="Q33" s="101"/>
      <c r="S33" s="435" t="s">
        <v>31</v>
      </c>
      <c r="T33" s="436" t="s">
        <v>31</v>
      </c>
      <c r="U33" s="95" t="s">
        <v>30</v>
      </c>
      <c r="W33" s="103"/>
      <c r="X33" s="103"/>
    </row>
    <row r="34" spans="1:50" s="102" customFormat="1" ht="12.75" x14ac:dyDescent="0.2">
      <c r="A34" s="97">
        <v>2020</v>
      </c>
      <c r="B34" s="104">
        <f>'[1]2020'!Pspv</f>
        <v>0</v>
      </c>
      <c r="C34" s="105">
        <f>'[2]2020'!Pspv</f>
        <v>0</v>
      </c>
      <c r="D34" s="105">
        <f>'[3]2020'!Pspv</f>
        <v>0</v>
      </c>
      <c r="E34" s="105">
        <f>'[4]2020'!Pspv</f>
        <v>0</v>
      </c>
      <c r="F34" s="105">
        <f>'[5]2020'!Pspv</f>
        <v>1.1111111111111112E-2</v>
      </c>
      <c r="G34" s="105">
        <f>'[6]2020'!Pspv</f>
        <v>0</v>
      </c>
      <c r="H34" s="105">
        <f>'[7]2020'!Pspv</f>
        <v>0</v>
      </c>
      <c r="I34" s="105">
        <f>'[8]2020'!Pspv</f>
        <v>0</v>
      </c>
      <c r="J34" s="105">
        <f>'[9]2020'!Pspv</f>
        <v>0</v>
      </c>
      <c r="K34" s="105">
        <f>'[10]2020'!Pspv</f>
        <v>0</v>
      </c>
      <c r="L34" s="105">
        <f>'[11]2020'!Pspv</f>
        <v>0</v>
      </c>
      <c r="M34" s="105">
        <f>'[12]2020'!Pspv</f>
        <v>0</v>
      </c>
      <c r="N34" s="105">
        <f>'[13]2020'!Pspv</f>
        <v>0</v>
      </c>
      <c r="O34" s="105"/>
      <c r="P34" s="106"/>
      <c r="Q34" s="101"/>
      <c r="S34" s="435" t="s">
        <v>32</v>
      </c>
      <c r="T34" s="436" t="s">
        <v>32</v>
      </c>
      <c r="U34" s="95" t="s">
        <v>33</v>
      </c>
      <c r="W34" s="103"/>
      <c r="X34" s="103"/>
    </row>
    <row r="35" spans="1:50" s="108" customFormat="1" ht="12.75" x14ac:dyDescent="0.2">
      <c r="A35" s="97">
        <v>2021</v>
      </c>
      <c r="B35" s="104">
        <f>'[1]2021'!Pspv</f>
        <v>0</v>
      </c>
      <c r="C35" s="105">
        <f>'[2]2021'!Pspv</f>
        <v>0</v>
      </c>
      <c r="D35" s="105">
        <f>'[3]2021'!Pspv</f>
        <v>-1.1999999999999999E-3</v>
      </c>
      <c r="E35" s="105">
        <f>'[4]2021'!Pspv</f>
        <v>0</v>
      </c>
      <c r="F35" s="105">
        <f>'[5]2021'!Pspv</f>
        <v>1.1111111111111112E-2</v>
      </c>
      <c r="G35" s="105">
        <f>'[6]2021'!Pspv</f>
        <v>0</v>
      </c>
      <c r="H35" s="105">
        <f>'[7]2021'!Pspv</f>
        <v>0</v>
      </c>
      <c r="I35" s="105">
        <f>'[8]2021'!Pspv</f>
        <v>0</v>
      </c>
      <c r="J35" s="105">
        <f>'[9]2021'!Pspv</f>
        <v>0</v>
      </c>
      <c r="K35" s="105">
        <f>'[10]2021'!Pspv</f>
        <v>0</v>
      </c>
      <c r="L35" s="105">
        <f>'[11]2021'!Pspv</f>
        <v>0</v>
      </c>
      <c r="M35" s="105">
        <f>'[12]2021'!Pspv</f>
        <v>0</v>
      </c>
      <c r="N35" s="105">
        <f>'[13]2021'!Pspv</f>
        <v>0</v>
      </c>
      <c r="O35" s="105"/>
      <c r="P35" s="106"/>
      <c r="Q35" s="107"/>
      <c r="S35" s="435" t="s">
        <v>34</v>
      </c>
      <c r="T35" s="436" t="s">
        <v>34</v>
      </c>
      <c r="U35" s="109" t="s">
        <v>35</v>
      </c>
      <c r="W35" s="103"/>
      <c r="X35" s="103"/>
    </row>
    <row r="36" spans="1:50" s="108" customFormat="1" ht="12.75" x14ac:dyDescent="0.2">
      <c r="A36" s="97">
        <v>2022</v>
      </c>
      <c r="B36" s="104">
        <f>'[1]2022'!Pspv</f>
        <v>0</v>
      </c>
      <c r="C36" s="105">
        <f>'[2]2022'!Pspv</f>
        <v>0</v>
      </c>
      <c r="D36" s="105">
        <f>'[3]2022'!Pspv</f>
        <v>-1.1999999999999999E-3</v>
      </c>
      <c r="E36" s="105">
        <f>'[4]2022'!Pspv</f>
        <v>0</v>
      </c>
      <c r="F36" s="105">
        <f>'[5]2022'!Pspv</f>
        <v>2.1111111111111112E-2</v>
      </c>
      <c r="G36" s="105">
        <f>'[6]2022'!Pspv</f>
        <v>0</v>
      </c>
      <c r="H36" s="105">
        <f>'[7]2022'!Pspv</f>
        <v>0</v>
      </c>
      <c r="I36" s="105">
        <f>'[8]2022'!Pspv</f>
        <v>0</v>
      </c>
      <c r="J36" s="105">
        <f>'[9]2022'!Pspv</f>
        <v>0</v>
      </c>
      <c r="K36" s="105">
        <f>'[10]2022'!Pspv</f>
        <v>0</v>
      </c>
      <c r="L36" s="105">
        <f>'[11]2022'!Pspv</f>
        <v>0</v>
      </c>
      <c r="M36" s="105">
        <f>'[12]2022'!Pspv</f>
        <v>0</v>
      </c>
      <c r="N36" s="105">
        <f>'[13]2022'!Pspv</f>
        <v>0</v>
      </c>
      <c r="O36" s="105">
        <f>'[14]2022'!Pspv</f>
        <v>0</v>
      </c>
      <c r="P36" s="106">
        <f>'[15]2022'!Pspv</f>
        <v>0</v>
      </c>
      <c r="Q36" s="107"/>
      <c r="S36" s="435" t="s">
        <v>36</v>
      </c>
      <c r="T36" s="436" t="s">
        <v>36</v>
      </c>
      <c r="U36" s="95" t="s">
        <v>37</v>
      </c>
      <c r="W36" s="103"/>
      <c r="X36" s="103"/>
    </row>
    <row r="37" spans="1:50" s="108" customFormat="1" ht="12.75" x14ac:dyDescent="0.2">
      <c r="A37" s="110">
        <v>2023</v>
      </c>
      <c r="B37" s="111">
        <f>'[1]2023'!Pspv</f>
        <v>0</v>
      </c>
      <c r="C37" s="112">
        <f>'[2]2023'!Pspv</f>
        <v>0</v>
      </c>
      <c r="D37" s="112">
        <f>'[3]2023'!Pspv</f>
        <v>-1.1999999999999999E-3</v>
      </c>
      <c r="E37" s="112">
        <f>'[4]2023'!Pspv</f>
        <v>0</v>
      </c>
      <c r="F37" s="112">
        <f>'[5]2023'!Pspv</f>
        <v>2.1111111111111112E-2</v>
      </c>
      <c r="G37" s="112">
        <f>'[6]2023'!Pspv</f>
        <v>0</v>
      </c>
      <c r="H37" s="112">
        <f>'[7]2023'!Pspv</f>
        <v>0</v>
      </c>
      <c r="I37" s="112">
        <f>'[8]2023'!Pspv</f>
        <v>0</v>
      </c>
      <c r="J37" s="112">
        <f>'[9]2023'!Pspv</f>
        <v>0</v>
      </c>
      <c r="K37" s="112">
        <f>'[10]2023'!Pspv</f>
        <v>0</v>
      </c>
      <c r="L37" s="112">
        <f>'[11]2023'!Pspv</f>
        <v>0</v>
      </c>
      <c r="M37" s="112">
        <f>'[12]2023'!Pspv</f>
        <v>0</v>
      </c>
      <c r="N37" s="112">
        <f>'[13]2023'!Pspv</f>
        <v>0</v>
      </c>
      <c r="O37" s="112">
        <f>'[14]2023'!Pspv</f>
        <v>0</v>
      </c>
      <c r="P37" s="113">
        <f>'[15]2023'!Pspv</f>
        <v>0</v>
      </c>
      <c r="Q37" s="107"/>
      <c r="S37" s="435" t="s">
        <v>38</v>
      </c>
      <c r="T37" s="436" t="s">
        <v>38</v>
      </c>
      <c r="U37" s="109" t="s">
        <v>39</v>
      </c>
      <c r="W37" s="103"/>
      <c r="X37" s="103"/>
    </row>
    <row r="38" spans="1:50" s="108" customFormat="1" ht="12.75" x14ac:dyDescent="0.2">
      <c r="A38" s="110">
        <v>2024</v>
      </c>
      <c r="B38" s="111">
        <f>'[1]2024'!Pspv</f>
        <v>0</v>
      </c>
      <c r="C38" s="112">
        <f>'[2]2024'!Pspv</f>
        <v>0</v>
      </c>
      <c r="D38" s="112">
        <f>'[3]2024'!Pspv</f>
        <v>-1.1999999999999999E-3</v>
      </c>
      <c r="E38" s="112">
        <f>'[4]2024'!Pspv</f>
        <v>0</v>
      </c>
      <c r="F38" s="112">
        <f>'[5]2024'!Pspv</f>
        <v>2.1111111111111112E-2</v>
      </c>
      <c r="G38" s="112">
        <f>'[6]2024'!Pspv</f>
        <v>0</v>
      </c>
      <c r="H38" s="112">
        <f>'[7]2024'!Pspv</f>
        <v>0</v>
      </c>
      <c r="I38" s="112">
        <f>'[8]2024'!Pspv</f>
        <v>0</v>
      </c>
      <c r="J38" s="112">
        <f>'[9]2024'!Pspv</f>
        <v>0</v>
      </c>
      <c r="K38" s="112">
        <f>'[10]2024'!Pspv</f>
        <v>0</v>
      </c>
      <c r="L38" s="112">
        <f>'[11]2024'!Pspv</f>
        <v>0</v>
      </c>
      <c r="M38" s="112">
        <f>'[12]2024'!Pspv</f>
        <v>0</v>
      </c>
      <c r="N38" s="112">
        <f>'[13]2024'!Pspv</f>
        <v>0</v>
      </c>
      <c r="O38" s="112">
        <f>'[14]2024'!Pspv</f>
        <v>0</v>
      </c>
      <c r="P38" s="113">
        <f>'[15]2024'!Pspv</f>
        <v>0</v>
      </c>
      <c r="Q38" s="107"/>
      <c r="S38" s="435" t="s">
        <v>40</v>
      </c>
      <c r="T38" s="436" t="s">
        <v>40</v>
      </c>
      <c r="U38" s="95" t="s">
        <v>41</v>
      </c>
      <c r="W38" s="103"/>
      <c r="X38" s="103"/>
    </row>
    <row r="39" spans="1:50" s="108" customFormat="1" ht="12.75" x14ac:dyDescent="0.2">
      <c r="A39" s="110">
        <v>2025</v>
      </c>
      <c r="B39" s="111">
        <f>'[1]2025'!Pspv</f>
        <v>0</v>
      </c>
      <c r="C39" s="112">
        <f>'[2]2025'!Pspv</f>
        <v>0</v>
      </c>
      <c r="D39" s="112">
        <f>'[3]2025'!Pspv</f>
        <v>-1.1999999999999999E-3</v>
      </c>
      <c r="E39" s="112">
        <f>'[4]2025'!Pspv</f>
        <v>0</v>
      </c>
      <c r="F39" s="112">
        <f>'[5]2025'!Pspv</f>
        <v>2.1111111111111112E-2</v>
      </c>
      <c r="G39" s="112">
        <f>'[6]2025'!Pspv</f>
        <v>0</v>
      </c>
      <c r="H39" s="112">
        <f>'[7]2025'!Pspv</f>
        <v>0</v>
      </c>
      <c r="I39" s="112">
        <f>'[8]2025'!Pspv</f>
        <v>0</v>
      </c>
      <c r="J39" s="112">
        <f>'[9]2025'!Pspv</f>
        <v>0</v>
      </c>
      <c r="K39" s="112">
        <f>'[10]2025'!Pspv</f>
        <v>0</v>
      </c>
      <c r="L39" s="112">
        <f>'[11]2025'!Pspv</f>
        <v>0</v>
      </c>
      <c r="M39" s="112">
        <f>'[12]2025'!Pspv</f>
        <v>0</v>
      </c>
      <c r="N39" s="112">
        <f>'[13]2025'!Pspv</f>
        <v>0</v>
      </c>
      <c r="O39" s="112">
        <f>'[14]2025'!Pspv</f>
        <v>0</v>
      </c>
      <c r="P39" s="113">
        <f>'[15]2025'!Pspv</f>
        <v>0</v>
      </c>
      <c r="Q39" s="107"/>
      <c r="S39" s="435" t="s">
        <v>42</v>
      </c>
      <c r="T39" s="436" t="s">
        <v>42</v>
      </c>
      <c r="U39" s="95" t="s">
        <v>43</v>
      </c>
      <c r="W39" s="103"/>
      <c r="X39" s="103"/>
    </row>
    <row r="40" spans="1:50" s="108" customFormat="1" ht="12.75" x14ac:dyDescent="0.2">
      <c r="A40" s="110">
        <v>2026</v>
      </c>
      <c r="B40" s="111">
        <f>'[1]2026'!Pspv</f>
        <v>0</v>
      </c>
      <c r="C40" s="112">
        <f>'[2]2026'!Pspv</f>
        <v>0</v>
      </c>
      <c r="D40" s="112">
        <f>'[3]2026'!Pspv</f>
        <v>-1.1999999999999999E-3</v>
      </c>
      <c r="E40" s="112">
        <f>'[4]2026'!Pspv</f>
        <v>0</v>
      </c>
      <c r="F40" s="112">
        <f>'[5]2026'!Pspv</f>
        <v>2.1111111111111112E-2</v>
      </c>
      <c r="G40" s="112">
        <f>'[6]2026'!Pspv</f>
        <v>0</v>
      </c>
      <c r="H40" s="112">
        <f>'[7]2026'!Pspv</f>
        <v>0</v>
      </c>
      <c r="I40" s="112">
        <f>'[8]2026'!Pspv</f>
        <v>0</v>
      </c>
      <c r="J40" s="112">
        <f>'[9]2026'!Pspv</f>
        <v>0</v>
      </c>
      <c r="K40" s="112">
        <f>'[10]2026'!Pspv</f>
        <v>0</v>
      </c>
      <c r="L40" s="112">
        <f>'[11]2026'!Pspv</f>
        <v>0</v>
      </c>
      <c r="M40" s="112">
        <f>'[12]2026'!Pspv</f>
        <v>0</v>
      </c>
      <c r="N40" s="112">
        <f>'[13]2026'!Pspv</f>
        <v>0</v>
      </c>
      <c r="O40" s="112">
        <f>'[14]2026'!Pspv</f>
        <v>0</v>
      </c>
      <c r="P40" s="113">
        <f>'[15]2026'!Pspv</f>
        <v>0</v>
      </c>
      <c r="Q40" s="107"/>
      <c r="S40" s="435" t="s">
        <v>44</v>
      </c>
      <c r="T40" s="436" t="s">
        <v>45</v>
      </c>
      <c r="U40" s="95" t="s">
        <v>46</v>
      </c>
      <c r="W40" s="103"/>
      <c r="X40" s="103"/>
    </row>
    <row r="41" spans="1:50" s="102" customFormat="1" ht="12.75" x14ac:dyDescent="0.2">
      <c r="A41" s="110">
        <v>2027</v>
      </c>
      <c r="B41" s="114">
        <f>'[1]2027'!Pspv</f>
        <v>0</v>
      </c>
      <c r="C41" s="115">
        <f>'[2]2027'!Pspv</f>
        <v>0</v>
      </c>
      <c r="D41" s="115">
        <f>'[3]2027'!Pspv</f>
        <v>-1.1999999999999999E-3</v>
      </c>
      <c r="E41" s="115">
        <f>'[4]2027'!Pspv</f>
        <v>0</v>
      </c>
      <c r="F41" s="115">
        <f>'[5]2027'!Pspv</f>
        <v>2.1111111111111112E-2</v>
      </c>
      <c r="G41" s="115">
        <f>'[6]2027'!Pspv</f>
        <v>0</v>
      </c>
      <c r="H41" s="115">
        <f>'[7]2027'!Pspv</f>
        <v>0</v>
      </c>
      <c r="I41" s="115">
        <f>'[8]2027'!Pspv</f>
        <v>0</v>
      </c>
      <c r="J41" s="115">
        <f>'[9]2027'!Pspv</f>
        <v>0</v>
      </c>
      <c r="K41" s="115">
        <f>'[10]2027'!Pspv</f>
        <v>0</v>
      </c>
      <c r="L41" s="115">
        <f>'[11]2027'!Pspv</f>
        <v>0</v>
      </c>
      <c r="M41" s="115">
        <f>'[12]2027'!Pspv</f>
        <v>0</v>
      </c>
      <c r="N41" s="115">
        <f>'[13]2027'!Pspv</f>
        <v>0</v>
      </c>
      <c r="O41" s="115">
        <f>'[14]2027'!Pspv</f>
        <v>0</v>
      </c>
      <c r="P41" s="116">
        <f>'[15]2027'!Pspv</f>
        <v>0</v>
      </c>
      <c r="Q41" s="117"/>
      <c r="S41" s="435" t="s">
        <v>47</v>
      </c>
      <c r="T41" s="436" t="s">
        <v>47</v>
      </c>
      <c r="U41" s="95" t="s">
        <v>48</v>
      </c>
      <c r="W41" s="103"/>
      <c r="X41" s="103"/>
    </row>
    <row r="42" spans="1:50" s="102" customFormat="1" ht="13.5" thickBot="1" x14ac:dyDescent="0.25">
      <c r="A42" s="118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20"/>
      <c r="S42" s="435" t="s">
        <v>49</v>
      </c>
      <c r="T42" s="436" t="s">
        <v>49</v>
      </c>
      <c r="U42" s="95" t="s">
        <v>50</v>
      </c>
      <c r="W42" s="103"/>
      <c r="X42" s="103"/>
      <c r="AF42" s="119"/>
      <c r="AG42" s="119"/>
      <c r="AW42" s="119"/>
      <c r="AX42" s="119"/>
    </row>
    <row r="43" spans="1:50" s="102" customFormat="1" ht="16.5" thickBot="1" x14ac:dyDescent="0.25"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2">
        <v>5.4999999999999997E-3</v>
      </c>
      <c r="M43" s="121"/>
      <c r="N43" s="121"/>
      <c r="O43" s="121"/>
      <c r="P43" s="121"/>
      <c r="Q43" s="123"/>
      <c r="S43" s="435" t="s">
        <v>51</v>
      </c>
      <c r="T43" s="436" t="s">
        <v>51</v>
      </c>
      <c r="U43" s="95" t="s">
        <v>52</v>
      </c>
      <c r="W43" s="103"/>
      <c r="X43" s="103"/>
      <c r="AF43" s="121"/>
      <c r="AG43" s="121"/>
      <c r="AW43" s="121"/>
      <c r="AX43" s="121"/>
    </row>
  </sheetData>
  <mergeCells count="13">
    <mergeCell ref="S43:T43"/>
    <mergeCell ref="S37:T37"/>
    <mergeCell ref="S38:T38"/>
    <mergeCell ref="S39:T39"/>
    <mergeCell ref="S40:T40"/>
    <mergeCell ref="S41:T41"/>
    <mergeCell ref="S42:T42"/>
    <mergeCell ref="S36:T36"/>
    <mergeCell ref="S31:T31"/>
    <mergeCell ref="S32:T32"/>
    <mergeCell ref="S33:T33"/>
    <mergeCell ref="S34:T34"/>
    <mergeCell ref="S35:T35"/>
  </mergeCells>
  <conditionalFormatting sqref="B32:M41">
    <cfRule type="expression" dxfId="2" priority="3">
      <formula>(B32=0)</formula>
    </cfRule>
  </conditionalFormatting>
  <conditionalFormatting sqref="N32:N41">
    <cfRule type="expression" dxfId="1" priority="2">
      <formula>(N32=0)</formula>
    </cfRule>
  </conditionalFormatting>
  <conditionalFormatting sqref="O32:P41">
    <cfRule type="expression" dxfId="0" priority="1">
      <formula>(O32=0)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</vt:i4>
      </vt:variant>
    </vt:vector>
  </HeadingPairs>
  <TitlesOfParts>
    <vt:vector size="10" baseType="lpstr">
      <vt:lpstr>Nettoyages</vt:lpstr>
      <vt:lpstr>Recap %</vt:lpstr>
      <vt:lpstr>Recap kWh</vt:lpstr>
      <vt:lpstr>Coeff's perfo</vt:lpstr>
      <vt:lpstr>Gain action</vt:lpstr>
      <vt:lpstr>Pertes</vt:lpstr>
      <vt:lpstr>Réglages pertes</vt:lpstr>
      <vt:lpstr>Inter_net</vt:lpstr>
      <vt:lpstr>Inter_tai</vt:lpstr>
      <vt:lpstr>Nserv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2023-01-12T10:36:07Z</dcterms:created>
  <dcterms:modified xsi:type="dcterms:W3CDTF">2023-01-16T08:31:46Z</dcterms:modified>
</cp:coreProperties>
</file>