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3020"/>
  </bookViews>
  <sheets>
    <sheet name="Nettoyages" sheetId="7" r:id="rId1"/>
    <sheet name="Recap %" sheetId="6" r:id="rId2"/>
    <sheet name="Recap kWh" sheetId="5" r:id="rId3"/>
    <sheet name="Coeff's perfo" sheetId="4" r:id="rId4"/>
    <sheet name="Gain action" sheetId="3" r:id="rId5"/>
    <sheet name="Pertes" sheetId="2" r:id="rId6"/>
    <sheet name="Réglages pertes" sheetId="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Inter_net">'Gain action'!$M$4</definedName>
    <definedName name="Inter_tai">'Gain action'!$N$4</definedName>
    <definedName name="Nserv">'Coeff''s perfo'!$T$1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7" l="1"/>
  <c r="I17" i="7"/>
  <c r="I16" i="7"/>
  <c r="I15" i="7"/>
  <c r="I14" i="7"/>
  <c r="I13" i="7"/>
  <c r="I12" i="7"/>
  <c r="I11" i="7"/>
  <c r="I10" i="7"/>
  <c r="I9" i="7"/>
  <c r="I8" i="7"/>
  <c r="I7" i="7"/>
  <c r="I6" i="7"/>
  <c r="I4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I5" i="7" s="1"/>
  <c r="H4" i="7"/>
  <c r="G17" i="7" l="1"/>
  <c r="G16" i="7"/>
  <c r="G15" i="7"/>
  <c r="G14" i="7"/>
  <c r="G13" i="7"/>
  <c r="G12" i="7"/>
  <c r="G11" i="7"/>
  <c r="G10" i="7"/>
  <c r="G9" i="7"/>
  <c r="G8" i="7"/>
  <c r="G7" i="7"/>
  <c r="G6" i="7"/>
  <c r="G5" i="7"/>
  <c r="G4" i="7"/>
  <c r="F17" i="7" l="1"/>
  <c r="F16" i="7"/>
  <c r="F15" i="7"/>
  <c r="F14" i="7"/>
  <c r="F13" i="7"/>
  <c r="F12" i="7"/>
  <c r="F11" i="7"/>
  <c r="F10" i="7"/>
  <c r="F9" i="7"/>
  <c r="F8" i="7"/>
  <c r="F7" i="7"/>
  <c r="F6" i="7"/>
  <c r="F5" i="7"/>
  <c r="F4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D13" i="7"/>
  <c r="D12" i="7"/>
  <c r="D11" i="7"/>
  <c r="D10" i="7"/>
  <c r="D9" i="7"/>
  <c r="D8" i="7"/>
  <c r="D7" i="7"/>
  <c r="D6" i="7"/>
  <c r="D5" i="7"/>
  <c r="D4" i="7"/>
  <c r="D16" i="7" l="1"/>
  <c r="D15" i="7"/>
  <c r="D14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N46" i="6" l="1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B46" i="6"/>
  <c r="C46" i="6"/>
  <c r="D46" i="6"/>
  <c r="E46" i="6"/>
  <c r="G46" i="6"/>
  <c r="H46" i="6"/>
  <c r="I46" i="6"/>
  <c r="J46" i="6"/>
  <c r="K46" i="6"/>
  <c r="L46" i="6"/>
  <c r="M46" i="6"/>
  <c r="O46" i="6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K33" i="1"/>
  <c r="J33" i="1"/>
  <c r="I33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AS19" i="1"/>
  <c r="AR19" i="1"/>
  <c r="AQ19" i="1"/>
  <c r="AP19" i="1"/>
  <c r="AO19" i="1"/>
  <c r="AN19" i="1"/>
  <c r="AM19" i="1"/>
  <c r="AL19" i="1"/>
  <c r="AK19" i="1"/>
  <c r="AJ19" i="1"/>
  <c r="AB19" i="1"/>
  <c r="AA19" i="1"/>
  <c r="Z19" i="1"/>
  <c r="Y19" i="1"/>
  <c r="X19" i="1"/>
  <c r="W19" i="1"/>
  <c r="V19" i="1"/>
  <c r="U19" i="1"/>
  <c r="T19" i="1"/>
  <c r="S19" i="1"/>
  <c r="AP18" i="1"/>
  <c r="AO18" i="1"/>
  <c r="AN18" i="1"/>
  <c r="AM18" i="1"/>
  <c r="AL18" i="1"/>
  <c r="AK18" i="1"/>
  <c r="AJ18" i="1"/>
  <c r="Y18" i="1"/>
  <c r="X18" i="1"/>
  <c r="W18" i="1"/>
  <c r="V18" i="1"/>
  <c r="U18" i="1"/>
  <c r="T18" i="1"/>
  <c r="S18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AS6" i="1"/>
  <c r="AR6" i="1"/>
  <c r="AQ6" i="1"/>
  <c r="AP6" i="1"/>
  <c r="AO6" i="1"/>
  <c r="AN6" i="1"/>
  <c r="AM6" i="1"/>
  <c r="AL6" i="1"/>
  <c r="AK6" i="1"/>
  <c r="AJ6" i="1"/>
  <c r="AB6" i="1"/>
  <c r="AA6" i="1"/>
  <c r="Z6" i="1"/>
  <c r="Y6" i="1"/>
  <c r="X6" i="1"/>
  <c r="W6" i="1"/>
  <c r="V6" i="1"/>
  <c r="U6" i="1"/>
  <c r="T6" i="1"/>
  <c r="S6" i="1"/>
  <c r="AP5" i="1"/>
  <c r="AO5" i="1"/>
  <c r="AN5" i="1"/>
  <c r="AM5" i="1"/>
  <c r="AL5" i="1"/>
  <c r="AK5" i="1"/>
  <c r="AJ5" i="1"/>
  <c r="Y5" i="1"/>
  <c r="X5" i="1"/>
  <c r="W5" i="1"/>
  <c r="V5" i="1"/>
  <c r="U5" i="1"/>
  <c r="T5" i="1"/>
  <c r="S5" i="1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C34" i="2"/>
  <c r="AB34" i="2"/>
  <c r="AA34" i="2"/>
  <c r="Z34" i="2"/>
  <c r="Y34" i="2"/>
  <c r="X34" i="2"/>
  <c r="W34" i="2"/>
  <c r="V34" i="2"/>
  <c r="U34" i="2"/>
  <c r="T34" i="2"/>
  <c r="K34" i="2"/>
  <c r="J34" i="2"/>
  <c r="I34" i="2"/>
  <c r="H34" i="2"/>
  <c r="G34" i="2"/>
  <c r="F34" i="2"/>
  <c r="E34" i="2"/>
  <c r="D34" i="2"/>
  <c r="C34" i="2"/>
  <c r="B34" i="2"/>
  <c r="Z33" i="2"/>
  <c r="Y33" i="2"/>
  <c r="X33" i="2"/>
  <c r="W33" i="2"/>
  <c r="V33" i="2"/>
  <c r="U33" i="2"/>
  <c r="T33" i="2"/>
  <c r="H33" i="2"/>
  <c r="G33" i="2"/>
  <c r="F33" i="2"/>
  <c r="E33" i="2"/>
  <c r="D33" i="2"/>
  <c r="C33" i="2"/>
  <c r="B33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C20" i="2"/>
  <c r="AB20" i="2"/>
  <c r="AA20" i="2"/>
  <c r="Z20" i="2"/>
  <c r="Y20" i="2"/>
  <c r="X20" i="2"/>
  <c r="W20" i="2"/>
  <c r="V20" i="2"/>
  <c r="U20" i="2"/>
  <c r="T20" i="2"/>
  <c r="K20" i="2"/>
  <c r="J20" i="2"/>
  <c r="I20" i="2"/>
  <c r="H20" i="2"/>
  <c r="G20" i="2"/>
  <c r="F20" i="2"/>
  <c r="E20" i="2"/>
  <c r="D20" i="2"/>
  <c r="C20" i="2"/>
  <c r="B20" i="2"/>
  <c r="Z19" i="2"/>
  <c r="Y19" i="2"/>
  <c r="X19" i="2"/>
  <c r="W19" i="2"/>
  <c r="V19" i="2"/>
  <c r="U19" i="2"/>
  <c r="T19" i="2"/>
  <c r="H19" i="2"/>
  <c r="G19" i="2"/>
  <c r="F19" i="2"/>
  <c r="E19" i="2"/>
  <c r="D19" i="2"/>
  <c r="C19" i="2"/>
  <c r="B19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C6" i="2"/>
  <c r="AB6" i="2"/>
  <c r="AA6" i="2"/>
  <c r="Z6" i="2"/>
  <c r="Y6" i="2"/>
  <c r="X6" i="2"/>
  <c r="W6" i="2"/>
  <c r="V6" i="2"/>
  <c r="U6" i="2"/>
  <c r="T6" i="2"/>
  <c r="K6" i="2"/>
  <c r="J6" i="2"/>
  <c r="I6" i="2"/>
  <c r="H6" i="2"/>
  <c r="G6" i="2"/>
  <c r="F6" i="2"/>
  <c r="E6" i="2"/>
  <c r="D6" i="2"/>
  <c r="C6" i="2"/>
  <c r="B6" i="2"/>
  <c r="Z5" i="2"/>
  <c r="Y5" i="2"/>
  <c r="X5" i="2"/>
  <c r="W5" i="2"/>
  <c r="V5" i="2"/>
  <c r="U5" i="2"/>
  <c r="T5" i="2"/>
  <c r="H5" i="2"/>
  <c r="G5" i="2"/>
  <c r="F5" i="2"/>
  <c r="E5" i="2"/>
  <c r="D5" i="2"/>
  <c r="C5" i="2"/>
  <c r="B5" i="2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M23" i="3"/>
  <c r="L23" i="3"/>
  <c r="K23" i="3"/>
  <c r="J23" i="3"/>
  <c r="I23" i="3"/>
  <c r="H23" i="3"/>
  <c r="G23" i="3"/>
  <c r="F23" i="3"/>
  <c r="E23" i="3"/>
  <c r="D23" i="3"/>
  <c r="C23" i="3"/>
  <c r="B23" i="3"/>
  <c r="H22" i="3"/>
  <c r="G22" i="3"/>
  <c r="F22" i="3"/>
  <c r="E22" i="3"/>
  <c r="D22" i="3"/>
  <c r="C22" i="3"/>
  <c r="B22" i="3"/>
  <c r="O17" i="3"/>
  <c r="O16" i="3"/>
  <c r="O15" i="3"/>
  <c r="N15" i="3"/>
  <c r="M15" i="3"/>
  <c r="L15" i="3"/>
  <c r="O14" i="3"/>
  <c r="N14" i="3"/>
  <c r="M14" i="3"/>
  <c r="L14" i="3"/>
  <c r="K14" i="3"/>
  <c r="J14" i="3"/>
  <c r="I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N9" i="3"/>
  <c r="M9" i="3"/>
  <c r="L9" i="3"/>
  <c r="K9" i="3"/>
  <c r="J9" i="3"/>
  <c r="I9" i="3"/>
  <c r="H9" i="3"/>
  <c r="G9" i="3"/>
  <c r="F9" i="3"/>
  <c r="E9" i="3"/>
  <c r="D9" i="3"/>
  <c r="C9" i="3"/>
  <c r="B9" i="3"/>
  <c r="M8" i="3"/>
  <c r="L8" i="3"/>
  <c r="K8" i="3"/>
  <c r="J8" i="3"/>
  <c r="I8" i="3"/>
  <c r="H8" i="3"/>
  <c r="G8" i="3"/>
  <c r="F8" i="3"/>
  <c r="E8" i="3"/>
  <c r="D8" i="3"/>
  <c r="C8" i="3"/>
  <c r="B8" i="3"/>
  <c r="H7" i="3"/>
  <c r="G7" i="3"/>
  <c r="F7" i="3"/>
  <c r="E7" i="3"/>
  <c r="D7" i="3"/>
  <c r="C7" i="3"/>
  <c r="B7" i="3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O29" i="5"/>
  <c r="N29" i="5"/>
  <c r="M29" i="5"/>
  <c r="L29" i="5"/>
  <c r="K29" i="5"/>
  <c r="J29" i="5"/>
  <c r="I29" i="5"/>
  <c r="H29" i="5"/>
  <c r="G29" i="5"/>
  <c r="E29" i="5"/>
  <c r="D29" i="5"/>
  <c r="C29" i="5"/>
  <c r="B29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M6" i="5"/>
  <c r="L6" i="5"/>
  <c r="K6" i="5"/>
  <c r="J6" i="5"/>
  <c r="I6" i="5"/>
  <c r="H6" i="5"/>
  <c r="G6" i="5"/>
  <c r="F6" i="5"/>
  <c r="E6" i="5"/>
  <c r="D6" i="5"/>
  <c r="C6" i="5"/>
  <c r="B6" i="5"/>
  <c r="M23" i="6"/>
  <c r="L23" i="6"/>
  <c r="K23" i="6"/>
  <c r="J23" i="6"/>
  <c r="I23" i="6"/>
  <c r="H23" i="6"/>
  <c r="G23" i="6"/>
  <c r="F23" i="6"/>
  <c r="E23" i="6"/>
  <c r="D23" i="6"/>
  <c r="C23" i="6"/>
  <c r="B23" i="6"/>
  <c r="M6" i="6"/>
  <c r="L6" i="6"/>
  <c r="K6" i="6"/>
  <c r="J6" i="6"/>
  <c r="I6" i="6"/>
  <c r="H6" i="6"/>
  <c r="G6" i="6"/>
  <c r="F6" i="6"/>
  <c r="E6" i="6"/>
  <c r="D6" i="6"/>
  <c r="C6" i="6"/>
  <c r="B6" i="6"/>
  <c r="F29" i="5" l="1"/>
  <c r="F4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H24" i="6" l="1"/>
  <c r="J24" i="6"/>
  <c r="L24" i="6"/>
  <c r="I24" i="6"/>
  <c r="K24" i="6"/>
  <c r="M24" i="6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AI23" i="4" l="1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AE4" i="4"/>
  <c r="AB5" i="4"/>
  <c r="AG6" i="4"/>
  <c r="AA6" i="4" l="1"/>
  <c r="AC4" i="4"/>
  <c r="AE6" i="4"/>
  <c r="AG4" i="4"/>
  <c r="AF5" i="4"/>
  <c r="AC6" i="4"/>
  <c r="AA4" i="4"/>
  <c r="AB6" i="4"/>
  <c r="AD6" i="4"/>
  <c r="AF6" i="4"/>
  <c r="AH6" i="4"/>
  <c r="AB4" i="4"/>
  <c r="AD4" i="4"/>
  <c r="AF4" i="4"/>
  <c r="AH4" i="4"/>
  <c r="AD5" i="4"/>
  <c r="AH5" i="4"/>
  <c r="AC29" i="4"/>
  <c r="AG29" i="4"/>
  <c r="AC31" i="4"/>
  <c r="AG31" i="4"/>
  <c r="AC33" i="4"/>
  <c r="AG33" i="4"/>
  <c r="AA5" i="4"/>
  <c r="AC28" i="4"/>
  <c r="AC5" i="4"/>
  <c r="AE5" i="4"/>
  <c r="AG28" i="4"/>
  <c r="AG5" i="4"/>
  <c r="AC30" i="4"/>
  <c r="AG30" i="4"/>
  <c r="AC32" i="4"/>
  <c r="AG32" i="4"/>
  <c r="AB28" i="4"/>
  <c r="AD28" i="4"/>
  <c r="AF28" i="4"/>
  <c r="AH28" i="4"/>
  <c r="AB29" i="4"/>
  <c r="AD29" i="4"/>
  <c r="AF29" i="4"/>
  <c r="AH29" i="4"/>
  <c r="AB30" i="4"/>
  <c r="AD30" i="4"/>
  <c r="AF30" i="4"/>
  <c r="AH30" i="4"/>
  <c r="AB31" i="4"/>
  <c r="AD31" i="4"/>
  <c r="AF31" i="4"/>
  <c r="AH31" i="4"/>
  <c r="AB32" i="4"/>
  <c r="AD32" i="4"/>
  <c r="AF32" i="4"/>
  <c r="AH32" i="4"/>
  <c r="AB33" i="4"/>
  <c r="AD33" i="4"/>
  <c r="AF33" i="4"/>
  <c r="AH33" i="4"/>
  <c r="AB34" i="4"/>
  <c r="AD34" i="4"/>
  <c r="AF34" i="4"/>
  <c r="AH34" i="4"/>
  <c r="AB35" i="4"/>
  <c r="AD35" i="4"/>
  <c r="AF35" i="4"/>
  <c r="AH35" i="4"/>
  <c r="AB36" i="4"/>
  <c r="AD36" i="4"/>
  <c r="AF36" i="4"/>
  <c r="AH36" i="4"/>
  <c r="AB37" i="4"/>
  <c r="AD37" i="4"/>
  <c r="AF37" i="4"/>
  <c r="AH37" i="4"/>
  <c r="AB38" i="4"/>
  <c r="AD38" i="4"/>
  <c r="AF38" i="4"/>
  <c r="AH38" i="4"/>
  <c r="AB39" i="4"/>
  <c r="AD39" i="4"/>
  <c r="AF39" i="4"/>
  <c r="AH39" i="4"/>
  <c r="AA33" i="4"/>
  <c r="AA32" i="4"/>
  <c r="AA31" i="4"/>
  <c r="AA30" i="4"/>
  <c r="AA29" i="4"/>
  <c r="AA28" i="4"/>
  <c r="AE33" i="4"/>
  <c r="AE32" i="4"/>
  <c r="AE31" i="4"/>
  <c r="AE30" i="4"/>
  <c r="AE29" i="4"/>
  <c r="AE28" i="4"/>
  <c r="AA34" i="4"/>
  <c r="AC34" i="4"/>
  <c r="AE34" i="4"/>
  <c r="AG34" i="4"/>
  <c r="AA35" i="4"/>
  <c r="AC35" i="4"/>
  <c r="AE35" i="4"/>
  <c r="AG35" i="4"/>
  <c r="AA36" i="4"/>
  <c r="AC36" i="4"/>
  <c r="AE36" i="4"/>
  <c r="AG36" i="4"/>
  <c r="AA37" i="4"/>
  <c r="AC37" i="4"/>
  <c r="AE37" i="4"/>
  <c r="AG37" i="4"/>
  <c r="AA38" i="4"/>
  <c r="AC38" i="4"/>
  <c r="AE38" i="4"/>
  <c r="AG38" i="4"/>
  <c r="AA39" i="4"/>
  <c r="AC39" i="4"/>
  <c r="AE39" i="4"/>
  <c r="AG39" i="4"/>
  <c r="H18" i="3" l="1"/>
  <c r="I18" i="3"/>
  <c r="K18" i="3"/>
  <c r="M18" i="3"/>
  <c r="O18" i="3"/>
  <c r="J29" i="3"/>
  <c r="L29" i="3"/>
  <c r="N29" i="3"/>
  <c r="J18" i="3"/>
  <c r="L18" i="3"/>
  <c r="N18" i="3"/>
  <c r="H29" i="3"/>
  <c r="I29" i="3"/>
  <c r="K29" i="3"/>
  <c r="M29" i="3"/>
  <c r="O29" i="3"/>
  <c r="AG24" i="4"/>
  <c r="AE25" i="4"/>
  <c r="AE26" i="4"/>
  <c r="AE24" i="4"/>
  <c r="AA25" i="4"/>
  <c r="AA26" i="4"/>
  <c r="AA24" i="4"/>
  <c r="AH26" i="4"/>
  <c r="AH25" i="4"/>
  <c r="AH24" i="4"/>
  <c r="AF26" i="4"/>
  <c r="AF25" i="4"/>
  <c r="AF24" i="4"/>
  <c r="AD26" i="4"/>
  <c r="AD25" i="4"/>
  <c r="AD24" i="4"/>
  <c r="AB26" i="4"/>
  <c r="AB25" i="4"/>
  <c r="AB24" i="4"/>
  <c r="AG25" i="4"/>
  <c r="AC25" i="4"/>
  <c r="AC24" i="4"/>
  <c r="AG26" i="4"/>
  <c r="AC26" i="4"/>
  <c r="AF43" i="2"/>
  <c r="AD43" i="2"/>
  <c r="N4" i="6"/>
  <c r="M4" i="6"/>
  <c r="L4" i="6"/>
  <c r="K4" i="6"/>
  <c r="J4" i="6"/>
  <c r="I4" i="6"/>
  <c r="H4" i="6"/>
  <c r="N29" i="2"/>
  <c r="L29" i="2"/>
  <c r="AF29" i="2"/>
  <c r="AD29" i="2"/>
  <c r="K29" i="2"/>
  <c r="J29" i="2"/>
  <c r="I29" i="2"/>
  <c r="N5" i="6"/>
  <c r="M5" i="6"/>
  <c r="L5" i="6"/>
  <c r="K5" i="6"/>
  <c r="J5" i="6"/>
  <c r="I5" i="6"/>
  <c r="H5" i="6"/>
  <c r="O15" i="2"/>
  <c r="AF15" i="2"/>
  <c r="AE15" i="2"/>
  <c r="AD15" i="2"/>
  <c r="N15" i="2"/>
  <c r="M15" i="2"/>
  <c r="L15" i="2"/>
  <c r="I7" i="1" l="1"/>
  <c r="I12" i="1"/>
  <c r="K12" i="1"/>
  <c r="M12" i="1"/>
  <c r="O12" i="1"/>
  <c r="P9" i="1"/>
  <c r="N11" i="1"/>
  <c r="I22" i="1"/>
  <c r="K22" i="1"/>
  <c r="M22" i="1"/>
  <c r="O22" i="1"/>
  <c r="M43" i="2"/>
  <c r="O43" i="2"/>
  <c r="E5" i="1"/>
  <c r="J6" i="1"/>
  <c r="I19" i="1"/>
  <c r="N7" i="1"/>
  <c r="L12" i="1"/>
  <c r="N12" i="1"/>
  <c r="I6" i="1"/>
  <c r="K6" i="1"/>
  <c r="M10" i="1"/>
  <c r="J12" i="1"/>
  <c r="J7" i="1"/>
  <c r="H19" i="1"/>
  <c r="H6" i="1"/>
  <c r="H12" i="1"/>
  <c r="H15" i="2"/>
  <c r="H43" i="2"/>
  <c r="J43" i="2"/>
  <c r="L43" i="2"/>
  <c r="N43" i="2"/>
  <c r="AE43" i="2"/>
  <c r="AG43" i="2"/>
  <c r="M8" i="1"/>
  <c r="I9" i="1"/>
  <c r="K9" i="1"/>
  <c r="M9" i="1"/>
  <c r="O9" i="1"/>
  <c r="H13" i="1"/>
  <c r="J13" i="1"/>
  <c r="L13" i="1"/>
  <c r="N13" i="1"/>
  <c r="I13" i="1"/>
  <c r="I26" i="1"/>
  <c r="K26" i="1"/>
  <c r="M26" i="1"/>
  <c r="O26" i="1"/>
  <c r="I8" i="1"/>
  <c r="K8" i="1"/>
  <c r="I10" i="1"/>
  <c r="N20" i="1"/>
  <c r="H23" i="1"/>
  <c r="J23" i="1"/>
  <c r="L23" i="1"/>
  <c r="N23" i="1"/>
  <c r="H24" i="1"/>
  <c r="J24" i="1"/>
  <c r="L24" i="1"/>
  <c r="N24" i="1"/>
  <c r="AG15" i="2"/>
  <c r="O5" i="6"/>
  <c r="AG29" i="2"/>
  <c r="O4" i="6"/>
  <c r="H9" i="1"/>
  <c r="L9" i="1"/>
  <c r="H11" i="1"/>
  <c r="J11" i="1"/>
  <c r="L11" i="1"/>
  <c r="E18" i="1"/>
  <c r="I23" i="1"/>
  <c r="O25" i="1"/>
  <c r="K13" i="1"/>
  <c r="M13" i="1"/>
  <c r="M21" i="1"/>
  <c r="H22" i="1"/>
  <c r="J22" i="1"/>
  <c r="L22" i="1"/>
  <c r="N22" i="1"/>
  <c r="B5" i="1"/>
  <c r="D5" i="1"/>
  <c r="F5" i="1"/>
  <c r="H5" i="1"/>
  <c r="K7" i="1"/>
  <c r="M7" i="1"/>
  <c r="H14" i="1"/>
  <c r="L14" i="1"/>
  <c r="I21" i="1"/>
  <c r="K21" i="1"/>
  <c r="I25" i="1"/>
  <c r="K25" i="1"/>
  <c r="M25" i="1"/>
  <c r="H27" i="1"/>
  <c r="J27" i="1"/>
  <c r="L27" i="1"/>
  <c r="N27" i="1"/>
  <c r="AB15" i="2"/>
  <c r="AB29" i="2"/>
  <c r="AB43" i="2"/>
  <c r="H7" i="1"/>
  <c r="L7" i="1"/>
  <c r="O13" i="1"/>
  <c r="K23" i="1"/>
  <c r="M23" i="1"/>
  <c r="O23" i="1"/>
  <c r="H26" i="1"/>
  <c r="J26" i="1"/>
  <c r="L26" i="1"/>
  <c r="N26" i="1"/>
  <c r="C5" i="1"/>
  <c r="G5" i="1"/>
  <c r="J9" i="1"/>
  <c r="N9" i="1"/>
  <c r="H10" i="1"/>
  <c r="J10" i="1"/>
  <c r="L10" i="1"/>
  <c r="N10" i="1"/>
  <c r="K10" i="1"/>
  <c r="O10" i="1"/>
  <c r="I20" i="1"/>
  <c r="K20" i="1"/>
  <c r="M20" i="1"/>
  <c r="H20" i="1"/>
  <c r="J20" i="1"/>
  <c r="L20" i="1"/>
  <c r="I27" i="1"/>
  <c r="K27" i="1"/>
  <c r="M27" i="1"/>
  <c r="O27" i="1"/>
  <c r="AC15" i="2"/>
  <c r="H29" i="2"/>
  <c r="H8" i="1"/>
  <c r="J8" i="1"/>
  <c r="L8" i="1"/>
  <c r="N8" i="1"/>
  <c r="I11" i="1"/>
  <c r="K11" i="1"/>
  <c r="M11" i="1"/>
  <c r="O11" i="1"/>
  <c r="I14" i="1"/>
  <c r="K14" i="1"/>
  <c r="M14" i="1"/>
  <c r="O14" i="1"/>
  <c r="J14" i="1"/>
  <c r="N14" i="1"/>
  <c r="B18" i="1"/>
  <c r="D18" i="1"/>
  <c r="F18" i="1"/>
  <c r="H18" i="1"/>
  <c r="C18" i="1"/>
  <c r="H21" i="1"/>
  <c r="J21" i="1"/>
  <c r="L21" i="1"/>
  <c r="N21" i="1"/>
  <c r="I24" i="1"/>
  <c r="K24" i="1"/>
  <c r="M24" i="1"/>
  <c r="O24" i="1"/>
  <c r="H25" i="1"/>
  <c r="J25" i="1"/>
  <c r="L25" i="1"/>
  <c r="N25" i="1"/>
  <c r="Z15" i="2"/>
  <c r="AA15" i="2"/>
  <c r="I15" i="2"/>
  <c r="K15" i="2"/>
  <c r="Z29" i="2"/>
  <c r="AA29" i="2"/>
  <c r="AC29" i="2"/>
  <c r="Z43" i="2"/>
  <c r="AA43" i="2"/>
  <c r="AC43" i="2"/>
  <c r="I43" i="2"/>
  <c r="K43" i="2"/>
  <c r="J15" i="2"/>
  <c r="AE29" i="2"/>
  <c r="M29" i="2"/>
  <c r="O29" i="2"/>
  <c r="Q33" i="2"/>
  <c r="AF13" i="3" l="1"/>
  <c r="AF28" i="3" l="1"/>
  <c r="AF27" i="3"/>
  <c r="AF26" i="3"/>
  <c r="AF25" i="3"/>
  <c r="AF29" i="3" l="1"/>
  <c r="AF10" i="3"/>
  <c r="AF12" i="3"/>
  <c r="AF11" i="3"/>
  <c r="AF18" i="3" l="1"/>
  <c r="O5" i="5"/>
  <c r="O4" i="5"/>
  <c r="AC9" i="3" l="1"/>
  <c r="AE9" i="3"/>
  <c r="AC23" i="3"/>
  <c r="AC24" i="3"/>
  <c r="AE24" i="3"/>
  <c r="AC25" i="3"/>
  <c r="AE25" i="3"/>
  <c r="AC26" i="3"/>
  <c r="AE26" i="3"/>
  <c r="AC27" i="3"/>
  <c r="AE27" i="3"/>
  <c r="AC28" i="3"/>
  <c r="AE28" i="3"/>
  <c r="AE29" i="3" l="1"/>
  <c r="AC29" i="3"/>
  <c r="AC13" i="3"/>
  <c r="AC12" i="3"/>
  <c r="AC11" i="3"/>
  <c r="AC10" i="3"/>
  <c r="AE13" i="3"/>
  <c r="AE12" i="3"/>
  <c r="AE11" i="3"/>
  <c r="AE10" i="3"/>
  <c r="AC8" i="3"/>
  <c r="AC18" i="3" l="1"/>
  <c r="AE18" i="3"/>
  <c r="N5" i="5"/>
  <c r="N4" i="5" l="1"/>
  <c r="L5" i="5" l="1"/>
  <c r="L4" i="5" l="1"/>
  <c r="M5" i="5" l="1"/>
  <c r="M4" i="5" l="1"/>
  <c r="AD23" i="3" l="1"/>
  <c r="AD8" i="3" l="1"/>
  <c r="AD9" i="3" l="1"/>
  <c r="AD24" i="3" l="1"/>
  <c r="AD10" i="3" l="1"/>
  <c r="AD25" i="3"/>
  <c r="AD26" i="3" l="1"/>
  <c r="AD11" i="3" l="1"/>
  <c r="AD27" i="3" l="1"/>
  <c r="AD12" i="3" l="1"/>
  <c r="AD13" i="3" l="1"/>
  <c r="AD18" i="3" s="1"/>
  <c r="AD28" i="3"/>
  <c r="AD29" i="3" s="1"/>
  <c r="H5" i="5" l="1"/>
  <c r="Y22" i="3" l="1"/>
  <c r="Y7" i="3" l="1"/>
  <c r="H4" i="5" l="1"/>
  <c r="Y23" i="3" l="1"/>
  <c r="Y8" i="3" l="1"/>
  <c r="Y9" i="3" l="1"/>
  <c r="Y24" i="3"/>
  <c r="Y25" i="3" l="1"/>
  <c r="Y10" i="3" l="1"/>
  <c r="Y26" i="3" l="1"/>
  <c r="Y11" i="3" l="1"/>
  <c r="Y27" i="3"/>
  <c r="Y12" i="3" l="1"/>
  <c r="Y13" i="3" l="1"/>
  <c r="Y18" i="3" s="1"/>
  <c r="Y28" i="3"/>
  <c r="Y29" i="3" s="1"/>
  <c r="K5" i="5" l="1"/>
  <c r="K4" i="5" l="1"/>
  <c r="AB23" i="3" l="1"/>
  <c r="AB8" i="3" l="1"/>
  <c r="AB24" i="3"/>
  <c r="AB9" i="3"/>
  <c r="AB25" i="3" l="1"/>
  <c r="AB10" i="3" l="1"/>
  <c r="AB26" i="3"/>
  <c r="AB11" i="3" l="1"/>
  <c r="AB27" i="3"/>
  <c r="AB13" i="3" l="1"/>
  <c r="AB12" i="3"/>
  <c r="AB28" i="3"/>
  <c r="AB29" i="3" s="1"/>
  <c r="AB18" i="3" l="1"/>
  <c r="J5" i="5"/>
  <c r="J4" i="5" l="1"/>
  <c r="AA23" i="3" l="1"/>
  <c r="AA8" i="3" l="1"/>
  <c r="AA24" i="3"/>
  <c r="AA9" i="3"/>
  <c r="AA25" i="3" l="1"/>
  <c r="AA10" i="3" l="1"/>
  <c r="AA26" i="3"/>
  <c r="AA11" i="3" l="1"/>
  <c r="AA27" i="3"/>
  <c r="AA13" i="3" l="1"/>
  <c r="AA12" i="3"/>
  <c r="AA28" i="3"/>
  <c r="AA29" i="3" s="1"/>
  <c r="AA18" i="3" l="1"/>
  <c r="I5" i="5"/>
  <c r="I4" i="5" l="1"/>
  <c r="Z23" i="3" l="1"/>
  <c r="Z8" i="3" l="1"/>
  <c r="Z24" i="3"/>
  <c r="Z9" i="3"/>
  <c r="Z25" i="3" l="1"/>
  <c r="Z10" i="3" l="1"/>
  <c r="Z26" i="3"/>
  <c r="Z11" i="3" l="1"/>
  <c r="Z27" i="3"/>
  <c r="Z12" i="3" l="1"/>
  <c r="Z13" i="3"/>
  <c r="Z28" i="3"/>
  <c r="Z29" i="3" s="1"/>
  <c r="Z18" i="3" l="1"/>
  <c r="G18" i="1" l="1"/>
  <c r="G6" i="1" l="1"/>
  <c r="Q36" i="2"/>
  <c r="Q35" i="2"/>
  <c r="Q34" i="2"/>
  <c r="G8" i="1"/>
  <c r="Q5" i="2"/>
  <c r="G9" i="1" l="1"/>
  <c r="G19" i="1"/>
  <c r="G11" i="1" l="1"/>
  <c r="G7" i="1"/>
  <c r="G12" i="1" l="1"/>
  <c r="G10" i="1"/>
  <c r="G13" i="1" l="1"/>
  <c r="G20" i="1"/>
  <c r="G14" i="1" l="1"/>
  <c r="G24" i="6" l="1"/>
  <c r="G21" i="1"/>
  <c r="G22" i="1" l="1"/>
  <c r="Q19" i="2" l="1"/>
  <c r="G23" i="1"/>
  <c r="Z37" i="4" l="1"/>
  <c r="Z39" i="4"/>
  <c r="Z38" i="4"/>
  <c r="Z33" i="4" l="1"/>
  <c r="Z32" i="4"/>
  <c r="Z31" i="4"/>
  <c r="Z36" i="4"/>
  <c r="Z34" i="4"/>
  <c r="Z35" i="4"/>
  <c r="Z30" i="4"/>
  <c r="Z29" i="4"/>
  <c r="G24" i="1"/>
  <c r="X7" i="3" l="1"/>
  <c r="X22" i="3"/>
  <c r="Q37" i="2" l="1"/>
  <c r="Z6" i="4"/>
  <c r="Z28" i="4"/>
  <c r="Z4" i="4"/>
  <c r="Z5" i="4"/>
  <c r="G25" i="1"/>
  <c r="Z25" i="4" l="1"/>
  <c r="Z26" i="4"/>
  <c r="Z24" i="4"/>
  <c r="G5" i="6" l="1"/>
  <c r="G5" i="5"/>
  <c r="G26" i="1" l="1"/>
  <c r="G4" i="6"/>
  <c r="G4" i="5" l="1"/>
  <c r="G27" i="1" l="1"/>
  <c r="X23" i="3" l="1"/>
  <c r="X8" i="3"/>
  <c r="X24" i="3" l="1"/>
  <c r="X9" i="3"/>
  <c r="X25" i="3" l="1"/>
  <c r="X10" i="3" l="1"/>
  <c r="X26" i="3"/>
  <c r="G43" i="2" l="1"/>
  <c r="Y43" i="2"/>
  <c r="X11" i="3" l="1"/>
  <c r="Y15" i="2"/>
  <c r="G15" i="2" l="1"/>
  <c r="Y29" i="2" l="1"/>
  <c r="X27" i="3" l="1"/>
  <c r="G29" i="2"/>
  <c r="X12" i="3" l="1"/>
  <c r="X28" i="3" l="1"/>
  <c r="G29" i="3"/>
  <c r="X29" i="3" l="1"/>
  <c r="X13" i="3"/>
  <c r="G18" i="3"/>
  <c r="X18" i="3" l="1"/>
  <c r="F8" i="1" l="1"/>
  <c r="F6" i="1"/>
  <c r="F9" i="1" l="1"/>
  <c r="F7" i="1"/>
  <c r="F10" i="1" l="1"/>
  <c r="F11" i="1" l="1"/>
  <c r="F12" i="1" l="1"/>
  <c r="F13" i="1" l="1"/>
  <c r="F14" i="1" l="1"/>
  <c r="F19" i="1" l="1"/>
  <c r="F24" i="6" l="1"/>
  <c r="F20" i="1" l="1"/>
  <c r="F21" i="1" l="1"/>
  <c r="F22" i="1" l="1"/>
  <c r="F23" i="1" l="1"/>
  <c r="Y37" i="4" l="1"/>
  <c r="Y38" i="4"/>
  <c r="Y31" i="4" l="1"/>
  <c r="F24" i="1"/>
  <c r="Y34" i="4" l="1"/>
  <c r="Y32" i="4"/>
  <c r="Y29" i="4"/>
  <c r="Y36" i="4"/>
  <c r="Y30" i="4"/>
  <c r="Y35" i="4"/>
  <c r="Y33" i="4"/>
  <c r="Y39" i="4" l="1"/>
  <c r="Y4" i="4"/>
  <c r="Y6" i="4"/>
  <c r="Y28" i="4"/>
  <c r="Y5" i="4"/>
  <c r="F25" i="1" l="1"/>
  <c r="Y25" i="4"/>
  <c r="Y26" i="4"/>
  <c r="Y24" i="4"/>
  <c r="W7" i="3" l="1"/>
  <c r="W22" i="3"/>
  <c r="F5" i="5" l="1"/>
  <c r="F5" i="6"/>
  <c r="F26" i="1"/>
  <c r="F4" i="6" l="1"/>
  <c r="F4" i="5"/>
  <c r="F27" i="1" l="1"/>
  <c r="W8" i="3" l="1"/>
  <c r="W23" i="3"/>
  <c r="W9" i="3" l="1"/>
  <c r="W24" i="3"/>
  <c r="F43" i="2" l="1"/>
  <c r="W25" i="3" l="1"/>
  <c r="W10" i="3"/>
  <c r="X43" i="2"/>
  <c r="F15" i="2" l="1"/>
  <c r="X15" i="2"/>
  <c r="W11" i="3" l="1"/>
  <c r="W26" i="3" l="1"/>
  <c r="X29" i="2"/>
  <c r="F29" i="2"/>
  <c r="W27" i="3" l="1"/>
  <c r="W12" i="3"/>
  <c r="W28" i="3"/>
  <c r="W29" i="3" l="1"/>
  <c r="F29" i="3"/>
  <c r="W13" i="3" l="1"/>
  <c r="W18" i="3" s="1"/>
  <c r="F18" i="3"/>
  <c r="E6" i="1" l="1"/>
  <c r="E7" i="1"/>
  <c r="E8" i="1"/>
  <c r="E9" i="1" l="1"/>
  <c r="E10" i="1" l="1"/>
  <c r="E11" i="1" l="1"/>
  <c r="E12" i="1" l="1"/>
  <c r="E13" i="1" l="1"/>
  <c r="E14" i="1" l="1"/>
  <c r="E19" i="1" l="1"/>
  <c r="E24" i="6" l="1"/>
  <c r="E20" i="1" l="1"/>
  <c r="E21" i="1" l="1"/>
  <c r="E22" i="1" l="1"/>
  <c r="E23" i="1" l="1"/>
  <c r="X39" i="4" l="1"/>
  <c r="X38" i="4"/>
  <c r="X37" i="4"/>
  <c r="E24" i="1"/>
  <c r="X29" i="4" l="1"/>
  <c r="X32" i="4" l="1"/>
  <c r="X35" i="4"/>
  <c r="X36" i="4"/>
  <c r="X31" i="4"/>
  <c r="X34" i="4"/>
  <c r="X30" i="4"/>
  <c r="X33" i="4"/>
  <c r="E25" i="1" l="1"/>
  <c r="V7" i="3" l="1"/>
  <c r="X28" i="4" l="1"/>
  <c r="X5" i="4"/>
  <c r="X6" i="4"/>
  <c r="X4" i="4"/>
  <c r="E26" i="1"/>
  <c r="V22" i="3"/>
  <c r="X25" i="4" l="1"/>
  <c r="X24" i="4"/>
  <c r="X26" i="4"/>
  <c r="E5" i="5"/>
  <c r="E5" i="6" l="1"/>
  <c r="E27" i="1"/>
  <c r="E4" i="5" l="1"/>
  <c r="E4" i="6"/>
  <c r="V23" i="3" l="1"/>
  <c r="V8" i="3"/>
  <c r="V24" i="3" l="1"/>
  <c r="V9" i="3"/>
  <c r="E43" i="2" l="1"/>
  <c r="V25" i="3" l="1"/>
  <c r="V10" i="3"/>
  <c r="W43" i="2"/>
  <c r="E15" i="2" l="1"/>
  <c r="W15" i="2"/>
  <c r="V26" i="3" l="1"/>
  <c r="V11" i="3"/>
  <c r="V12" i="3"/>
  <c r="V27" i="3"/>
  <c r="E29" i="2" l="1"/>
  <c r="W29" i="2"/>
  <c r="V28" i="3" l="1"/>
  <c r="V29" i="3" s="1"/>
  <c r="E29" i="3"/>
  <c r="V13" i="3"/>
  <c r="V18" i="3" s="1"/>
  <c r="E18" i="3"/>
  <c r="D6" i="1" l="1"/>
  <c r="D8" i="1"/>
  <c r="D7" i="1" l="1"/>
  <c r="D9" i="1"/>
  <c r="D10" i="1" l="1"/>
  <c r="D11" i="1" l="1"/>
  <c r="D12" i="1" l="1"/>
  <c r="D13" i="1" l="1"/>
  <c r="D14" i="1"/>
  <c r="D19" i="1" l="1"/>
  <c r="D20" i="1" l="1"/>
  <c r="D24" i="6" l="1"/>
  <c r="D21" i="1" l="1"/>
  <c r="D22" i="1" l="1"/>
  <c r="D23" i="1" l="1"/>
  <c r="W38" i="4" l="1"/>
  <c r="W39" i="4"/>
  <c r="W37" i="4"/>
  <c r="W31" i="4" l="1"/>
  <c r="D24" i="1"/>
  <c r="W32" i="4" l="1"/>
  <c r="W36" i="4"/>
  <c r="W30" i="4"/>
  <c r="W29" i="4"/>
  <c r="W34" i="4"/>
  <c r="W35" i="4"/>
  <c r="W33" i="4"/>
  <c r="D25" i="1"/>
  <c r="U22" i="3" l="1"/>
  <c r="U7" i="3"/>
  <c r="W6" i="4" l="1"/>
  <c r="W4" i="4"/>
  <c r="W5" i="4"/>
  <c r="W28" i="4"/>
  <c r="D26" i="1"/>
  <c r="W25" i="4" l="1"/>
  <c r="W26" i="4"/>
  <c r="W24" i="4"/>
  <c r="D5" i="6" l="1"/>
  <c r="D5" i="5"/>
  <c r="D27" i="1" l="1"/>
  <c r="D4" i="5"/>
  <c r="D4" i="6"/>
  <c r="U8" i="3" l="1"/>
  <c r="U23" i="3"/>
  <c r="U24" i="3"/>
  <c r="U9" i="3"/>
  <c r="U10" i="3" l="1"/>
  <c r="U25" i="3"/>
  <c r="U11" i="3"/>
  <c r="U26" i="3"/>
  <c r="D43" i="2" l="1"/>
  <c r="V43" i="2" l="1"/>
  <c r="D15" i="2" l="1"/>
  <c r="V15" i="2"/>
  <c r="U27" i="3" l="1"/>
  <c r="U12" i="3"/>
  <c r="D29" i="2"/>
  <c r="V29" i="2"/>
  <c r="U13" i="3" l="1"/>
  <c r="U18" i="3" s="1"/>
  <c r="D18" i="3"/>
  <c r="U28" i="3"/>
  <c r="U29" i="3" s="1"/>
  <c r="D29" i="3"/>
  <c r="C7" i="1" l="1"/>
  <c r="C6" i="1"/>
  <c r="C8" i="1"/>
  <c r="C9" i="1"/>
  <c r="C10" i="1" l="1"/>
  <c r="C11" i="1" l="1"/>
  <c r="C19" i="1"/>
  <c r="C12" i="1" l="1"/>
  <c r="C13" i="1" l="1"/>
  <c r="C14" i="1" l="1"/>
  <c r="C24" i="6"/>
  <c r="C20" i="1"/>
  <c r="C21" i="1" l="1"/>
  <c r="C22" i="1" l="1"/>
  <c r="C23" i="1" l="1"/>
  <c r="V38" i="4" l="1"/>
  <c r="V37" i="4"/>
  <c r="V39" i="4" l="1"/>
  <c r="V31" i="4" l="1"/>
  <c r="V30" i="4"/>
  <c r="V29" i="4"/>
  <c r="V35" i="4"/>
  <c r="V36" i="4"/>
  <c r="V32" i="4"/>
  <c r="V34" i="4"/>
  <c r="C24" i="1"/>
  <c r="V33" i="4" l="1"/>
  <c r="C25" i="1"/>
  <c r="V6" i="4" l="1"/>
  <c r="V4" i="4"/>
  <c r="V5" i="4"/>
  <c r="V28" i="4"/>
  <c r="C26" i="1"/>
  <c r="T22" i="3"/>
  <c r="T7" i="3"/>
  <c r="V26" i="4" l="1"/>
  <c r="V24" i="4"/>
  <c r="V25" i="4"/>
  <c r="C5" i="5"/>
  <c r="C5" i="6" l="1"/>
  <c r="C27" i="1" l="1"/>
  <c r="C4" i="5"/>
  <c r="C4" i="6"/>
  <c r="T8" i="3" l="1"/>
  <c r="T23" i="3" l="1"/>
  <c r="T9" i="3" l="1"/>
  <c r="T24" i="3"/>
  <c r="T10" i="3" l="1"/>
  <c r="T25" i="3"/>
  <c r="C43" i="2" l="1"/>
  <c r="T26" i="3" l="1"/>
  <c r="T11" i="3"/>
  <c r="U43" i="2"/>
  <c r="U15" i="2" l="1"/>
  <c r="T12" i="3" l="1"/>
  <c r="T27" i="3" l="1"/>
  <c r="C29" i="2"/>
  <c r="U29" i="2"/>
  <c r="T28" i="3" l="1"/>
  <c r="T29" i="3" s="1"/>
  <c r="C29" i="3"/>
  <c r="T13" i="3"/>
  <c r="T18" i="3" s="1"/>
  <c r="C18" i="3"/>
  <c r="B6" i="1" l="1"/>
  <c r="B8" i="1"/>
  <c r="B9" i="1" l="1"/>
  <c r="B7" i="1" l="1"/>
  <c r="B10" i="1"/>
  <c r="B19" i="1"/>
  <c r="B11" i="1" l="1"/>
  <c r="B12" i="1" l="1"/>
  <c r="B20" i="1"/>
  <c r="B13" i="1" l="1"/>
  <c r="B14" i="1" l="1"/>
  <c r="B21" i="1" l="1"/>
  <c r="Q6" i="2"/>
  <c r="B24" i="6" l="1"/>
  <c r="Q8" i="2"/>
  <c r="C15" i="2" l="1"/>
  <c r="B22" i="1" l="1"/>
  <c r="Q20" i="2"/>
  <c r="Q7" i="2"/>
  <c r="U38" i="4" l="1"/>
  <c r="Q21" i="2"/>
  <c r="B23" i="1" l="1"/>
  <c r="U37" i="4"/>
  <c r="U39" i="4" l="1"/>
  <c r="B24" i="1"/>
  <c r="U30" i="4" l="1"/>
  <c r="U32" i="4"/>
  <c r="U35" i="4"/>
  <c r="U29" i="4"/>
  <c r="U33" i="4"/>
  <c r="U34" i="4"/>
  <c r="U36" i="4"/>
  <c r="Q22" i="2" l="1"/>
  <c r="U31" i="4"/>
  <c r="B25" i="1" l="1"/>
  <c r="S7" i="3" l="1"/>
  <c r="AH7" i="3" s="1"/>
  <c r="Q7" i="3"/>
  <c r="S22" i="3"/>
  <c r="AH22" i="3" s="1"/>
  <c r="Q22" i="3"/>
  <c r="U4" i="4" l="1"/>
  <c r="U6" i="4"/>
  <c r="U5" i="4"/>
  <c r="U28" i="4"/>
  <c r="U25" i="4" l="1"/>
  <c r="U26" i="4"/>
  <c r="U24" i="4"/>
  <c r="B26" i="1"/>
  <c r="B27" i="1" l="1"/>
  <c r="B5" i="6" l="1"/>
  <c r="B5" i="5" l="1"/>
  <c r="B4" i="6"/>
  <c r="B4" i="5" l="1"/>
  <c r="S8" i="3" l="1"/>
  <c r="Q8" i="3"/>
  <c r="S23" i="3" l="1"/>
  <c r="Q23" i="3"/>
  <c r="B43" i="2"/>
  <c r="AH8" i="3"/>
  <c r="T43" i="2"/>
  <c r="T15" i="2"/>
  <c r="S9" i="3" l="1"/>
  <c r="Q9" i="3"/>
  <c r="AH23" i="3"/>
  <c r="S24" i="3" l="1"/>
  <c r="Q24" i="3"/>
  <c r="B15" i="2"/>
  <c r="S25" i="3"/>
  <c r="AH9" i="3"/>
  <c r="T29" i="2"/>
  <c r="S10" i="3" l="1"/>
  <c r="B29" i="2"/>
  <c r="AH24" i="3"/>
  <c r="S26" i="3" l="1"/>
  <c r="S11" i="3"/>
  <c r="S27" i="3"/>
  <c r="S12" i="3" l="1"/>
  <c r="S28" i="3" l="1"/>
  <c r="B29" i="3"/>
  <c r="S13" i="3" l="1"/>
  <c r="B18" i="3"/>
  <c r="S29" i="3"/>
  <c r="S18" i="3" l="1"/>
  <c r="P28" i="5" l="1"/>
  <c r="P45" i="6"/>
  <c r="AG22" i="1" l="1"/>
  <c r="AX10" i="1"/>
  <c r="AG10" i="1"/>
  <c r="P10" i="1" l="1"/>
  <c r="AX11" i="1"/>
  <c r="AG11" i="1"/>
  <c r="P11" i="1" l="1"/>
  <c r="AG12" i="1"/>
  <c r="AX12" i="1"/>
  <c r="AG13" i="1" l="1"/>
  <c r="P12" i="1"/>
  <c r="AX13" i="1"/>
  <c r="AX14" i="1" l="1"/>
  <c r="AG14" i="1"/>
  <c r="P13" i="1"/>
  <c r="P14" i="1" l="1"/>
  <c r="G18" i="7"/>
  <c r="AI17" i="4" l="1"/>
  <c r="AI37" i="4" l="1"/>
  <c r="T17" i="4"/>
  <c r="B17" i="4" l="1"/>
  <c r="J17" i="4"/>
  <c r="L17" i="4"/>
  <c r="K17" i="4"/>
  <c r="H17" i="4"/>
  <c r="E17" i="4"/>
  <c r="C17" i="4"/>
  <c r="G17" i="4"/>
  <c r="M17" i="4"/>
  <c r="I17" i="4"/>
  <c r="N17" i="4"/>
  <c r="O17" i="4"/>
  <c r="F17" i="4"/>
  <c r="D17" i="4"/>
  <c r="P17" i="4"/>
  <c r="T37" i="4"/>
  <c r="P37" i="4" s="1"/>
  <c r="B37" i="4" l="1"/>
  <c r="L37" i="4"/>
  <c r="N37" i="4"/>
  <c r="K37" i="4"/>
  <c r="M37" i="4"/>
  <c r="E37" i="4"/>
  <c r="C37" i="4"/>
  <c r="G37" i="4"/>
  <c r="H37" i="4"/>
  <c r="O37" i="4"/>
  <c r="I37" i="4"/>
  <c r="J37" i="4"/>
  <c r="F37" i="4"/>
  <c r="D37" i="4"/>
  <c r="Q17" i="4"/>
  <c r="Q37" i="4" l="1"/>
  <c r="AI18" i="4" l="1"/>
  <c r="AI38" i="4" l="1"/>
  <c r="T18" i="4"/>
  <c r="B18" i="4" l="1"/>
  <c r="L18" i="4"/>
  <c r="I18" i="4"/>
  <c r="N18" i="4"/>
  <c r="O18" i="4"/>
  <c r="E18" i="4"/>
  <c r="C18" i="4"/>
  <c r="G18" i="4"/>
  <c r="J18" i="4"/>
  <c r="H18" i="4"/>
  <c r="M18" i="4"/>
  <c r="K18" i="4"/>
  <c r="F18" i="4"/>
  <c r="D18" i="4"/>
  <c r="P18" i="4"/>
  <c r="T38" i="4"/>
  <c r="B38" i="4" l="1"/>
  <c r="N38" i="4"/>
  <c r="L38" i="4"/>
  <c r="O38" i="4"/>
  <c r="M38" i="4"/>
  <c r="C38" i="4"/>
  <c r="G38" i="4"/>
  <c r="H38" i="4"/>
  <c r="J38" i="4"/>
  <c r="K38" i="4"/>
  <c r="I38" i="4"/>
  <c r="F38" i="4"/>
  <c r="D38" i="4"/>
  <c r="E38" i="4"/>
  <c r="P38" i="4"/>
  <c r="Q18" i="4"/>
  <c r="Q38" i="4" l="1"/>
  <c r="F18" i="7" l="1"/>
  <c r="AX22" i="1"/>
  <c r="P22" i="1" s="1"/>
  <c r="AG23" i="1" l="1"/>
  <c r="AX23" i="1" l="1"/>
  <c r="P23" i="1" s="1"/>
  <c r="AH9" i="2"/>
  <c r="P5" i="6" s="1"/>
  <c r="AI14" i="4" l="1"/>
  <c r="AI11" i="4"/>
  <c r="AI12" i="4"/>
  <c r="AI15" i="4"/>
  <c r="AI9" i="4"/>
  <c r="AI16" i="4"/>
  <c r="P9" i="2" l="1"/>
  <c r="AI36" i="4"/>
  <c r="T16" i="4"/>
  <c r="P16" i="4" s="1"/>
  <c r="AI35" i="4"/>
  <c r="T15" i="4"/>
  <c r="P15" i="4" s="1"/>
  <c r="AI32" i="4"/>
  <c r="T12" i="4"/>
  <c r="P12" i="4" s="1"/>
  <c r="AI31" i="4"/>
  <c r="T11" i="4"/>
  <c r="P11" i="4" s="1"/>
  <c r="AI34" i="4"/>
  <c r="T14" i="4"/>
  <c r="P14" i="4" s="1"/>
  <c r="AX24" i="1"/>
  <c r="AG24" i="1"/>
  <c r="AI29" i="4"/>
  <c r="T9" i="4"/>
  <c r="P9" i="4" s="1"/>
  <c r="AI13" i="4"/>
  <c r="AI10" i="4"/>
  <c r="AI19" i="4"/>
  <c r="P24" i="1" l="1"/>
  <c r="AI39" i="4"/>
  <c r="T19" i="4"/>
  <c r="P5" i="5"/>
  <c r="Q9" i="2"/>
  <c r="AI33" i="4"/>
  <c r="T13" i="4"/>
  <c r="P13" i="4" s="1"/>
  <c r="T29" i="4"/>
  <c r="P29" i="4" s="1"/>
  <c r="G14" i="4"/>
  <c r="N14" i="4"/>
  <c r="L14" i="4"/>
  <c r="K14" i="4"/>
  <c r="H14" i="4"/>
  <c r="F14" i="4"/>
  <c r="D14" i="4"/>
  <c r="J14" i="4"/>
  <c r="M14" i="4"/>
  <c r="I14" i="4"/>
  <c r="O14" i="4"/>
  <c r="E14" i="4"/>
  <c r="C14" i="4"/>
  <c r="B14" i="4"/>
  <c r="T31" i="4"/>
  <c r="P31" i="4" s="1"/>
  <c r="G12" i="4"/>
  <c r="M12" i="4"/>
  <c r="L12" i="4"/>
  <c r="K12" i="4"/>
  <c r="H12" i="4"/>
  <c r="F12" i="4"/>
  <c r="D12" i="4"/>
  <c r="I12" i="4"/>
  <c r="J12" i="4"/>
  <c r="N12" i="4"/>
  <c r="O12" i="4"/>
  <c r="E12" i="4"/>
  <c r="C12" i="4"/>
  <c r="B12" i="4"/>
  <c r="T35" i="4"/>
  <c r="P35" i="4" s="1"/>
  <c r="B16" i="4"/>
  <c r="I16" i="4"/>
  <c r="M16" i="4"/>
  <c r="N16" i="4"/>
  <c r="O16" i="4"/>
  <c r="E16" i="4"/>
  <c r="C16" i="4"/>
  <c r="G16" i="4"/>
  <c r="J16" i="4"/>
  <c r="L16" i="4"/>
  <c r="K16" i="4"/>
  <c r="H16" i="4"/>
  <c r="F16" i="4"/>
  <c r="D16" i="4"/>
  <c r="AI30" i="4"/>
  <c r="T10" i="4"/>
  <c r="P10" i="4" s="1"/>
  <c r="H9" i="4"/>
  <c r="K9" i="4"/>
  <c r="J9" i="4"/>
  <c r="M9" i="4"/>
  <c r="L9" i="4"/>
  <c r="E9" i="4"/>
  <c r="C9" i="4"/>
  <c r="G9" i="4"/>
  <c r="N9" i="4"/>
  <c r="O9" i="4"/>
  <c r="I9" i="4"/>
  <c r="F9" i="4"/>
  <c r="D9" i="4"/>
  <c r="B9" i="4"/>
  <c r="T34" i="4"/>
  <c r="P34" i="4" s="1"/>
  <c r="B11" i="4"/>
  <c r="G11" i="4"/>
  <c r="M11" i="4"/>
  <c r="K11" i="4"/>
  <c r="J11" i="4"/>
  <c r="N11" i="4"/>
  <c r="F11" i="4"/>
  <c r="D11" i="4"/>
  <c r="I11" i="4"/>
  <c r="H11" i="4"/>
  <c r="O11" i="4"/>
  <c r="L11" i="4"/>
  <c r="E11" i="4"/>
  <c r="C11" i="4"/>
  <c r="T32" i="4"/>
  <c r="P32" i="4" s="1"/>
  <c r="B15" i="4"/>
  <c r="I15" i="4"/>
  <c r="M15" i="4"/>
  <c r="H15" i="4"/>
  <c r="K15" i="4"/>
  <c r="L15" i="4"/>
  <c r="E15" i="4"/>
  <c r="C15" i="4"/>
  <c r="G15" i="4"/>
  <c r="O15" i="4"/>
  <c r="D15" i="4"/>
  <c r="J15" i="4"/>
  <c r="N15" i="4"/>
  <c r="F15" i="4"/>
  <c r="T36" i="4"/>
  <c r="P36" i="4" s="1"/>
  <c r="Q12" i="4" l="1"/>
  <c r="Q14" i="4"/>
  <c r="B19" i="4"/>
  <c r="G19" i="4"/>
  <c r="N19" i="4"/>
  <c r="J19" i="4"/>
  <c r="O19" i="4"/>
  <c r="I19" i="4"/>
  <c r="F19" i="4"/>
  <c r="D19" i="4"/>
  <c r="H19" i="4"/>
  <c r="L19" i="4"/>
  <c r="K19" i="4"/>
  <c r="M19" i="4"/>
  <c r="E19" i="4"/>
  <c r="C19" i="4"/>
  <c r="P19" i="4"/>
  <c r="T39" i="4"/>
  <c r="P39" i="4" s="1"/>
  <c r="AG25" i="1"/>
  <c r="Q9" i="4"/>
  <c r="T30" i="4"/>
  <c r="P30" i="4" s="1"/>
  <c r="Q16" i="4"/>
  <c r="B35" i="4"/>
  <c r="L35" i="4"/>
  <c r="I35" i="4"/>
  <c r="M35" i="4"/>
  <c r="K35" i="4"/>
  <c r="E35" i="4"/>
  <c r="C35" i="4"/>
  <c r="O35" i="4"/>
  <c r="H35" i="4"/>
  <c r="F35" i="4"/>
  <c r="G35" i="4"/>
  <c r="N35" i="4"/>
  <c r="J35" i="4"/>
  <c r="D35" i="4"/>
  <c r="B31" i="4"/>
  <c r="I31" i="4"/>
  <c r="M31" i="4"/>
  <c r="N31" i="4"/>
  <c r="J31" i="4"/>
  <c r="E31" i="4"/>
  <c r="C31" i="4"/>
  <c r="G31" i="4"/>
  <c r="O31" i="4"/>
  <c r="K31" i="4"/>
  <c r="L31" i="4"/>
  <c r="H31" i="4"/>
  <c r="F31" i="4"/>
  <c r="D31" i="4"/>
  <c r="B29" i="4"/>
  <c r="G29" i="4"/>
  <c r="O29" i="4"/>
  <c r="J29" i="4"/>
  <c r="N29" i="4"/>
  <c r="F29" i="4"/>
  <c r="D29" i="4"/>
  <c r="K29" i="4"/>
  <c r="M29" i="4"/>
  <c r="H29" i="4"/>
  <c r="C29" i="4"/>
  <c r="I29" i="4"/>
  <c r="L29" i="4"/>
  <c r="E29" i="4"/>
  <c r="B13" i="4"/>
  <c r="H13" i="4"/>
  <c r="K13" i="4"/>
  <c r="I13" i="4"/>
  <c r="L13" i="4"/>
  <c r="E13" i="4"/>
  <c r="C13" i="4"/>
  <c r="G13" i="4"/>
  <c r="O13" i="4"/>
  <c r="M13" i="4"/>
  <c r="D13" i="4"/>
  <c r="N13" i="4"/>
  <c r="J13" i="4"/>
  <c r="F13" i="4"/>
  <c r="AX25" i="1"/>
  <c r="B36" i="4"/>
  <c r="N36" i="4"/>
  <c r="M36" i="4"/>
  <c r="I36" i="4"/>
  <c r="J36" i="4"/>
  <c r="E36" i="4"/>
  <c r="C36" i="4"/>
  <c r="O36" i="4"/>
  <c r="L36" i="4"/>
  <c r="K36" i="4"/>
  <c r="D36" i="4"/>
  <c r="G36" i="4"/>
  <c r="H36" i="4"/>
  <c r="F36" i="4"/>
  <c r="Q15" i="4"/>
  <c r="B32" i="4"/>
  <c r="N32" i="4"/>
  <c r="K32" i="4"/>
  <c r="J32" i="4"/>
  <c r="O32" i="4"/>
  <c r="F32" i="4"/>
  <c r="D32" i="4"/>
  <c r="L32" i="4"/>
  <c r="I32" i="4"/>
  <c r="G32" i="4"/>
  <c r="M32" i="4"/>
  <c r="H32" i="4"/>
  <c r="E32" i="4"/>
  <c r="C32" i="4"/>
  <c r="Q11" i="4"/>
  <c r="B34" i="4"/>
  <c r="H34" i="4"/>
  <c r="O34" i="4"/>
  <c r="G34" i="4"/>
  <c r="J34" i="4"/>
  <c r="F34" i="4"/>
  <c r="D34" i="4"/>
  <c r="L34" i="4"/>
  <c r="I34" i="4"/>
  <c r="K34" i="4"/>
  <c r="N34" i="4"/>
  <c r="M34" i="4"/>
  <c r="E34" i="4"/>
  <c r="C34" i="4"/>
  <c r="B10" i="4"/>
  <c r="N10" i="4"/>
  <c r="O10" i="4"/>
  <c r="I10" i="4"/>
  <c r="L10" i="4"/>
  <c r="E10" i="4"/>
  <c r="C10" i="4"/>
  <c r="G10" i="4"/>
  <c r="H10" i="4"/>
  <c r="M10" i="4"/>
  <c r="D10" i="4"/>
  <c r="K10" i="4"/>
  <c r="J10" i="4"/>
  <c r="F10" i="4"/>
  <c r="T33" i="4"/>
  <c r="P33" i="4" s="1"/>
  <c r="AI8" i="4"/>
  <c r="Q19" i="4" l="1"/>
  <c r="G39" i="4"/>
  <c r="O39" i="4"/>
  <c r="N39" i="4"/>
  <c r="L39" i="4"/>
  <c r="K39" i="4"/>
  <c r="D39" i="4"/>
  <c r="J39" i="4"/>
  <c r="M39" i="4"/>
  <c r="H39" i="4"/>
  <c r="I39" i="4"/>
  <c r="E39" i="4"/>
  <c r="C39" i="4"/>
  <c r="F39" i="4"/>
  <c r="B39" i="4"/>
  <c r="Q32" i="4"/>
  <c r="B30" i="4"/>
  <c r="J30" i="4"/>
  <c r="O30" i="4"/>
  <c r="M30" i="4"/>
  <c r="K30" i="4"/>
  <c r="I30" i="4"/>
  <c r="F30" i="4"/>
  <c r="D30" i="4"/>
  <c r="H30" i="4"/>
  <c r="G30" i="4"/>
  <c r="C30" i="4"/>
  <c r="N30" i="4"/>
  <c r="L30" i="4"/>
  <c r="E30" i="4"/>
  <c r="P25" i="1"/>
  <c r="AI4" i="4"/>
  <c r="AI5" i="4"/>
  <c r="AI28" i="4"/>
  <c r="AI6" i="4"/>
  <c r="T8" i="4"/>
  <c r="P8" i="4" s="1"/>
  <c r="B33" i="4"/>
  <c r="K33" i="4"/>
  <c r="J33" i="4"/>
  <c r="O33" i="4"/>
  <c r="M33" i="4"/>
  <c r="N33" i="4"/>
  <c r="F33" i="4"/>
  <c r="D33" i="4"/>
  <c r="I33" i="4"/>
  <c r="E33" i="4"/>
  <c r="H33" i="4"/>
  <c r="L33" i="4"/>
  <c r="G33" i="4"/>
  <c r="C33" i="4"/>
  <c r="Q10" i="4"/>
  <c r="Q34" i="4"/>
  <c r="Q36" i="4"/>
  <c r="Q13" i="4"/>
  <c r="Q29" i="4"/>
  <c r="Q31" i="4"/>
  <c r="Q35" i="4"/>
  <c r="AH23" i="2"/>
  <c r="P4" i="6" s="1"/>
  <c r="Q39" i="4" l="1"/>
  <c r="P23" i="2"/>
  <c r="P5" i="4"/>
  <c r="P6" i="4"/>
  <c r="P4" i="4"/>
  <c r="Q30" i="4"/>
  <c r="AG26" i="1"/>
  <c r="AH38" i="2"/>
  <c r="P38" i="2"/>
  <c r="AX26" i="1"/>
  <c r="Q33" i="4"/>
  <c r="B8" i="4"/>
  <c r="I8" i="4"/>
  <c r="J8" i="4"/>
  <c r="N8" i="4"/>
  <c r="K8" i="4"/>
  <c r="H8" i="4"/>
  <c r="F8" i="4"/>
  <c r="D8" i="4"/>
  <c r="M8" i="4"/>
  <c r="L8" i="4"/>
  <c r="G8" i="4"/>
  <c r="O8" i="4"/>
  <c r="E8" i="4"/>
  <c r="C8" i="4"/>
  <c r="AI25" i="4"/>
  <c r="AI24" i="4"/>
  <c r="AI26" i="4"/>
  <c r="T28" i="4"/>
  <c r="P28" i="4" s="1"/>
  <c r="AH10" i="2"/>
  <c r="P4" i="5" l="1"/>
  <c r="Q23" i="2"/>
  <c r="P24" i="4"/>
  <c r="P26" i="4"/>
  <c r="P25" i="4"/>
  <c r="E4" i="4"/>
  <c r="E6" i="4"/>
  <c r="E5" i="4"/>
  <c r="G6" i="4"/>
  <c r="G4" i="4"/>
  <c r="G5" i="4"/>
  <c r="M5" i="4"/>
  <c r="M4" i="4"/>
  <c r="M6" i="4"/>
  <c r="F5" i="4"/>
  <c r="F6" i="4"/>
  <c r="F4" i="4"/>
  <c r="K6" i="4"/>
  <c r="K4" i="4"/>
  <c r="K5" i="4"/>
  <c r="J4" i="4"/>
  <c r="J6" i="4"/>
  <c r="J5" i="4"/>
  <c r="B6" i="4"/>
  <c r="B5" i="4"/>
  <c r="B4" i="4"/>
  <c r="Q8" i="4"/>
  <c r="Q38" i="2"/>
  <c r="P26" i="1"/>
  <c r="G28" i="4"/>
  <c r="O28" i="4"/>
  <c r="M28" i="4"/>
  <c r="I28" i="4"/>
  <c r="F28" i="4"/>
  <c r="D28" i="4"/>
  <c r="B28" i="4"/>
  <c r="H28" i="4"/>
  <c r="J28" i="4"/>
  <c r="K28" i="4"/>
  <c r="N28" i="4"/>
  <c r="L28" i="4"/>
  <c r="E28" i="4"/>
  <c r="C28" i="4"/>
  <c r="C6" i="4"/>
  <c r="C4" i="4"/>
  <c r="C5" i="4"/>
  <c r="O4" i="4"/>
  <c r="O5" i="4"/>
  <c r="O6" i="4"/>
  <c r="L6" i="4"/>
  <c r="L4" i="4"/>
  <c r="L5" i="4"/>
  <c r="D5" i="4"/>
  <c r="D6" i="4"/>
  <c r="D4" i="4"/>
  <c r="H4" i="4"/>
  <c r="H5" i="4"/>
  <c r="H6" i="4"/>
  <c r="N6" i="4"/>
  <c r="N4" i="4"/>
  <c r="N5" i="4"/>
  <c r="I4" i="4"/>
  <c r="I5" i="4"/>
  <c r="I6" i="4"/>
  <c r="P10" i="2"/>
  <c r="AX27" i="1"/>
  <c r="Q10" i="2" l="1"/>
  <c r="E26" i="4"/>
  <c r="E25" i="4"/>
  <c r="E24" i="4"/>
  <c r="N26" i="4"/>
  <c r="N24" i="4"/>
  <c r="N25" i="4"/>
  <c r="J26" i="4"/>
  <c r="J24" i="4"/>
  <c r="J25" i="4"/>
  <c r="B24" i="4"/>
  <c r="B26" i="4"/>
  <c r="Q28" i="4"/>
  <c r="B25" i="4"/>
  <c r="F25" i="4"/>
  <c r="F26" i="4"/>
  <c r="F24" i="4"/>
  <c r="M26" i="4"/>
  <c r="M25" i="4"/>
  <c r="M24" i="4"/>
  <c r="G26" i="4"/>
  <c r="G25" i="4"/>
  <c r="G24" i="4"/>
  <c r="C25" i="4"/>
  <c r="C26" i="4"/>
  <c r="C24" i="4"/>
  <c r="L26" i="4"/>
  <c r="L24" i="4"/>
  <c r="L25" i="4"/>
  <c r="K25" i="4"/>
  <c r="K24" i="4"/>
  <c r="K26" i="4"/>
  <c r="H25" i="4"/>
  <c r="H26" i="4"/>
  <c r="H24" i="4"/>
  <c r="D25" i="4"/>
  <c r="D24" i="4"/>
  <c r="D26" i="4"/>
  <c r="I26" i="4"/>
  <c r="I25" i="4"/>
  <c r="I24" i="4"/>
  <c r="O24" i="4"/>
  <c r="O25" i="4"/>
  <c r="O26" i="4"/>
  <c r="AH24" i="2"/>
  <c r="AG27" i="1" l="1"/>
  <c r="P27" i="1" s="1"/>
  <c r="P24" i="2"/>
  <c r="Q24" i="2" l="1"/>
  <c r="AH39" i="2" l="1"/>
  <c r="P39" i="2"/>
  <c r="Q39" i="2" l="1"/>
  <c r="AH11" i="2"/>
  <c r="P11" i="2"/>
  <c r="Q11" i="2" l="1"/>
  <c r="AH25" i="2" l="1"/>
  <c r="P25" i="2" l="1"/>
  <c r="Q25" i="2" l="1"/>
  <c r="P10" i="3"/>
  <c r="P25" i="3" l="1"/>
  <c r="AG10" i="3"/>
  <c r="Q10" i="3"/>
  <c r="AH10" i="3" l="1"/>
  <c r="AG25" i="3"/>
  <c r="Q25" i="3"/>
  <c r="AH25" i="3" l="1"/>
  <c r="AH40" i="2" l="1"/>
  <c r="P40" i="2"/>
  <c r="AH12" i="2"/>
  <c r="AH41" i="2" l="1"/>
  <c r="P41" i="2"/>
  <c r="Q41" i="2" s="1"/>
  <c r="Q40" i="2"/>
  <c r="P12" i="2"/>
  <c r="AH13" i="2"/>
  <c r="AH42" i="2" l="1"/>
  <c r="AH43" i="2" s="1"/>
  <c r="P42" i="2"/>
  <c r="Q12" i="2"/>
  <c r="P13" i="2"/>
  <c r="Q13" i="2" s="1"/>
  <c r="AH26" i="2"/>
  <c r="AH14" i="2"/>
  <c r="AH15" i="2" s="1"/>
  <c r="AH27" i="2"/>
  <c r="Q42" i="2" l="1"/>
  <c r="P43" i="2"/>
  <c r="Q43" i="2" s="1"/>
  <c r="P27" i="2"/>
  <c r="Q27" i="2" s="1"/>
  <c r="P14" i="2"/>
  <c r="Q14" i="2" s="1"/>
  <c r="P26" i="2"/>
  <c r="AH28" i="2"/>
  <c r="AH29" i="2" s="1"/>
  <c r="Q26" i="2" l="1"/>
  <c r="P15" i="2"/>
  <c r="Q15" i="2" s="1"/>
  <c r="P28" i="2"/>
  <c r="Q28" i="2" s="1"/>
  <c r="P29" i="2" l="1"/>
  <c r="Q29" i="2" s="1"/>
  <c r="P12" i="3" l="1"/>
  <c r="P11" i="3"/>
  <c r="AG11" i="3" l="1"/>
  <c r="Q11" i="3"/>
  <c r="P26" i="3"/>
  <c r="AG12" i="3"/>
  <c r="AH12" i="3" s="1"/>
  <c r="Q12" i="3"/>
  <c r="P27" i="3"/>
  <c r="P13" i="3"/>
  <c r="P28" i="3" l="1"/>
  <c r="P29" i="3" s="1"/>
  <c r="Q29" i="3" s="1"/>
  <c r="AG13" i="3"/>
  <c r="AH13" i="3" s="1"/>
  <c r="Q13" i="3"/>
  <c r="AG27" i="3"/>
  <c r="AH27" i="3" s="1"/>
  <c r="Q27" i="3"/>
  <c r="AG26" i="3"/>
  <c r="Q26" i="3"/>
  <c r="P18" i="3"/>
  <c r="Q18" i="3" s="1"/>
  <c r="AH11" i="3"/>
  <c r="P14" i="3"/>
  <c r="AG18" i="3" l="1"/>
  <c r="AH18" i="3" s="1"/>
  <c r="AG28" i="3"/>
  <c r="AH28" i="3" s="1"/>
  <c r="Q28" i="3"/>
  <c r="AH26" i="3"/>
  <c r="P15" i="3"/>
  <c r="AG29" i="3" l="1"/>
  <c r="AH29" i="3" s="1"/>
  <c r="P16" i="3"/>
  <c r="P17" i="3" l="1"/>
  <c r="P29" i="5" l="1"/>
  <c r="P46" i="6"/>
</calcChain>
</file>

<file path=xl/comments1.xml><?xml version="1.0" encoding="utf-8"?>
<comments xmlns="http://schemas.openxmlformats.org/spreadsheetml/2006/main">
  <authors>
    <author>Eric NOEUREUIL</author>
  </authors>
  <commentList>
    <comment ref="A4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2 ans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2 ans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3 ans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4ans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A intégrer ultérieurement: SDIS et Espanes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F3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1/3 de module en panne</t>
        </r>
      </text>
    </comment>
    <comment ref="D3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Remplacement d'un module 300W par un 310W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1/3 de 2 modules en panne</t>
        </r>
      </text>
    </comment>
    <comment ref="L43" authorId="0" shapeId="0">
      <text>
        <r>
          <rPr>
            <sz val="9"/>
            <color indexed="81"/>
            <rFont val="Tahoma"/>
            <family val="2"/>
          </rPr>
          <t>Saisir la valeur suivant le type de module PV
0,65% /an garanti par JA Solar</t>
        </r>
      </text>
    </comment>
  </commentList>
</comments>
</file>

<file path=xl/sharedStrings.xml><?xml version="1.0" encoding="utf-8"?>
<sst xmlns="http://schemas.openxmlformats.org/spreadsheetml/2006/main" count="708" uniqueCount="119">
  <si>
    <t>Réglages coefficients de pertes stations  I.C.E.A.</t>
  </si>
  <si>
    <t>Pertes par salissure: taux par an</t>
  </si>
  <si>
    <t>Pertes par salissure: taux limite</t>
  </si>
  <si>
    <t>Pertes par salissure constante de temps (ans)</t>
  </si>
  <si>
    <t>Année</t>
  </si>
  <si>
    <t>Donneville</t>
  </si>
  <si>
    <t>Aureville</t>
  </si>
  <si>
    <t>M.J.C. Ayguesviv.</t>
  </si>
  <si>
    <t>Garderie Labège</t>
  </si>
  <si>
    <t>Maternelle Labège</t>
  </si>
  <si>
    <t>Crèche Escalquens</t>
  </si>
  <si>
    <t>Crèche Ayguesviv.</t>
  </si>
  <si>
    <t>S.d.F. Noueilles</t>
  </si>
  <si>
    <t>M. d. S.  Escalquens</t>
  </si>
  <si>
    <t>Berjean Escalquens</t>
  </si>
  <si>
    <t>Ecole Odars</t>
  </si>
  <si>
    <t>Gymnase Ayguesviv.</t>
  </si>
  <si>
    <t>Ecole Montbrun L</t>
  </si>
  <si>
    <t>Espanes Hangar Goussaud</t>
  </si>
  <si>
    <t>Montgiscard
S.D.I.S.</t>
  </si>
  <si>
    <t>Pertes par masquage: Croissance en hauteur x densité</t>
  </si>
  <si>
    <t>Pertes par masquage: Hauteur végétation fin année (m)</t>
  </si>
  <si>
    <t>Pertes par masquage: densité végétation (%)</t>
  </si>
  <si>
    <r>
      <t xml:space="preserve">Pertes de vieillissement P.V. : Taux annuel </t>
    </r>
    <r>
      <rPr>
        <sz val="12"/>
        <color theme="4" tint="-0.499984740745262"/>
        <rFont val="Calibri"/>
        <family val="2"/>
        <scheme val="minor"/>
      </rPr>
      <t>puis dégradations supplémentaires</t>
    </r>
  </si>
  <si>
    <t>Site</t>
  </si>
  <si>
    <t>Particularités de réglages</t>
  </si>
  <si>
    <t>%/An</t>
  </si>
  <si>
    <t xml:space="preserve">Donneville: </t>
  </si>
  <si>
    <t>Quelques pertes végétation; Taux de salissure assez fort augmente en 2022</t>
  </si>
  <si>
    <t xml:space="preserve">Aureville: </t>
  </si>
  <si>
    <t>Taux de salissure assez faible augmente en 2022</t>
  </si>
  <si>
    <t xml:space="preserve">Garderie Labège: </t>
  </si>
  <si>
    <t xml:space="preserve">M.J.C. Ayguesviv.: </t>
  </si>
  <si>
    <t>Faible taux de pertes PV et de salissure</t>
  </si>
  <si>
    <t xml:space="preserve">Maternelle Labège: </t>
  </si>
  <si>
    <t>Fort taux de perte PV + 1/3 module; salissures assez fortes: 2eme position</t>
  </si>
  <si>
    <t xml:space="preserve">Crèche Escalquens: </t>
  </si>
  <si>
    <t>RAS</t>
  </si>
  <si>
    <t xml:space="preserve">Crèche Ayguesviv.: </t>
  </si>
  <si>
    <t>Taux PV salissure et végétation sont les plus élevés!</t>
  </si>
  <si>
    <t xml:space="preserve">S.d.F. Noueilles: </t>
  </si>
  <si>
    <t>Augmentation salissures depuis 2021 effacé par nettoyage 22</t>
  </si>
  <si>
    <t xml:space="preserve">M. d. S.  Escalquens: </t>
  </si>
  <si>
    <t>Légère augmentation taux de salissure en 2022 effacé par nettoyage 22</t>
  </si>
  <si>
    <t xml:space="preserve">Berjean Escalquens: </t>
  </si>
  <si>
    <t xml:space="preserve">Esp. Berjean Escalquens: </t>
  </si>
  <si>
    <t>Forte augmentation salissures en 2021-22  effacé par nettoyage 22</t>
  </si>
  <si>
    <t xml:space="preserve">Ecole Odars: </t>
  </si>
  <si>
    <t>Augmentation taux de salissure en 2022 effacé par nettoyage 22</t>
  </si>
  <si>
    <t xml:space="preserve">Gymnase Ayguesviv.: </t>
  </si>
  <si>
    <t>Fort taux de salissure en 2021-22 effacé par nettoyage 22</t>
  </si>
  <si>
    <t xml:space="preserve">Ecole Montbrun L: </t>
  </si>
  <si>
    <t>Taux de salissure initialement le plus faible augmente en 2022</t>
  </si>
  <si>
    <t>SYNTHESE DES PERTES CENTRALES I.C.E.A. (kWh)</t>
  </si>
  <si>
    <t>SYNTHESE DES PERTES relatives en %</t>
  </si>
  <si>
    <t>Pertes par salissure</t>
  </si>
  <si>
    <t>TOTAL kWh</t>
  </si>
  <si>
    <t>Toutes</t>
  </si>
  <si>
    <t>Moy</t>
  </si>
  <si>
    <t>Pertes par masquage (végétation)</t>
  </si>
  <si>
    <t>Pertes de vieillissement P.V. (pour info.)</t>
  </si>
  <si>
    <t>PREVISIONS DE GAINS I.C.E.A. (kWh) en cas d'action</t>
  </si>
  <si>
    <t>GAINS POTENTIELS   I.C.E.A. (€) en cas d'action</t>
  </si>
  <si>
    <t>Salissures</t>
  </si>
  <si>
    <t>Végétation</t>
  </si>
  <si>
    <t>Prix (kWh)</t>
  </si>
  <si>
    <t>Régler içi la période entre actions (ans):</t>
  </si>
  <si>
    <t>ans</t>
  </si>
  <si>
    <t>Gains par nettoyage salissure</t>
  </si>
  <si>
    <t>TOTAL €</t>
  </si>
  <si>
    <t>Gains par taille de la végétation</t>
  </si>
  <si>
    <r>
      <t xml:space="preserve">1er Octobre 2022:  Ratios de performance </t>
    </r>
    <r>
      <rPr>
        <b/>
        <u/>
        <sz val="14"/>
        <color indexed="8"/>
        <rFont val="Calibri"/>
        <family val="2"/>
      </rPr>
      <t>normalisés suivant JPG</t>
    </r>
    <r>
      <rPr>
        <b/>
        <sz val="14"/>
        <color indexed="8"/>
        <rFont val="Calibri"/>
        <family val="2"/>
      </rPr>
      <t>: basé sur courbes enveloppe</t>
    </r>
  </si>
  <si>
    <t>Nombre stations en service</t>
  </si>
  <si>
    <t>Station:</t>
  </si>
  <si>
    <t>min:</t>
  </si>
  <si>
    <t>moy:</t>
  </si>
  <si>
    <t>max:</t>
  </si>
  <si>
    <t>Mois</t>
  </si>
  <si>
    <t>ratio % /moyenne ICEA</t>
  </si>
  <si>
    <t>vérif</t>
  </si>
  <si>
    <t>Somme centrales (kWh/j)</t>
  </si>
  <si>
    <t>Moyenne Mois kWh/kWc/j</t>
  </si>
  <si>
    <r>
      <t xml:space="preserve">1er Octobre 2022: Ratios de performance </t>
    </r>
    <r>
      <rPr>
        <b/>
        <u/>
        <sz val="14"/>
        <color indexed="8"/>
        <rFont val="Calibri"/>
        <family val="2"/>
      </rPr>
      <t>absolus suivant JPG</t>
    </r>
    <r>
      <rPr>
        <b/>
        <sz val="14"/>
        <color indexed="8"/>
        <rFont val="Calibri"/>
        <family val="2"/>
      </rPr>
      <t>:  basé sur courbes enveloppe</t>
    </r>
  </si>
  <si>
    <t>Pcrête (kW)</t>
  </si>
  <si>
    <t>P crête (kW):</t>
  </si>
  <si>
    <t>Moyenne Mois (kWh/j)</t>
  </si>
  <si>
    <t>SYNTHESE DES PERTES &amp; GAINS STATIONS I.C.E.A. (kWh)</t>
  </si>
  <si>
    <t>Bilan de pertes
2022</t>
  </si>
  <si>
    <t>Espace Berjean Escalq</t>
  </si>
  <si>
    <t>Masquage végé. 2022 (kWh/kWc)</t>
  </si>
  <si>
    <t>Perte salissure 2022 (kWh/kWc)</t>
  </si>
  <si>
    <t>Gain instantanné nettoyage</t>
  </si>
  <si>
    <t>Espace Berjean Escalquens</t>
  </si>
  <si>
    <t>Période nettoyage 1 an</t>
  </si>
  <si>
    <t>Période nettoyage 2ans</t>
  </si>
  <si>
    <t>Période nettoyage 3ans</t>
  </si>
  <si>
    <t>Période nettoyage 4ans</t>
  </si>
  <si>
    <t>Période de calcul station</t>
  </si>
  <si>
    <t>SYNTHESE DES PERTES &amp; GAINS STATIONS I.C.E.A. (%)</t>
  </si>
  <si>
    <t>Masquage végé. 2022</t>
  </si>
  <si>
    <t>Perte salissure 2022</t>
  </si>
  <si>
    <t>Résidu nettoyage</t>
  </si>
  <si>
    <t>Résidu nettoyage / Gain+résidu</t>
  </si>
  <si>
    <t>Montgiscard S.D.I.S.</t>
  </si>
  <si>
    <t>Gain de nettoyage moyen
( kWh/an ) Décembre 2022</t>
  </si>
  <si>
    <t>Valeurs préliminaires</t>
  </si>
  <si>
    <t>Méthode: moyenne des valeurs gains annuels dernière période</t>
  </si>
  <si>
    <t>Gain  moyen calculé (à reporter ci-dessus)</t>
  </si>
  <si>
    <t>Gymnase Ayguesvives</t>
  </si>
  <si>
    <t>Synthèse nettoyages ICEA</t>
  </si>
  <si>
    <t>Mise en service</t>
  </si>
  <si>
    <t>Installation PV</t>
  </si>
  <si>
    <t>Salissure</t>
  </si>
  <si>
    <t>Fin 2022</t>
  </si>
  <si>
    <t>Nettoyages précédents</t>
  </si>
  <si>
    <t>Avr. 2023</t>
  </si>
  <si>
    <t>Gain kWh nettoyage de 2023</t>
  </si>
  <si>
    <t>Prix €/kWh</t>
  </si>
  <si>
    <t>Gain (€) nettoyage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</si>
</sst>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.0_ ;\-#,##0.0\ "/>
    <numFmt numFmtId="165" formatCode="0.0%"/>
    <numFmt numFmtId="166" formatCode="0.000"/>
    <numFmt numFmtId="167" formatCode="#,##0\ &quot;€&quot;"/>
    <numFmt numFmtId="168" formatCode="0.0"/>
    <numFmt numFmtId="169" formatCode="[$-40C]mmm\-yy;@"/>
    <numFmt numFmtId="170" formatCode="[$-40C]d\-mmm\-yy;@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u/>
      <sz val="8"/>
      <color theme="7" tint="-0.499984740745262"/>
      <name val="Calibri"/>
      <family val="2"/>
      <scheme val="minor"/>
    </font>
    <font>
      <b/>
      <u/>
      <sz val="10"/>
      <color theme="7" tint="-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u/>
      <sz val="10"/>
      <color theme="1" tint="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7" tint="-0.499984740745262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" tint="0.499984740745262"/>
      <name val="Calibri"/>
      <family val="2"/>
      <scheme val="minor"/>
    </font>
    <font>
      <b/>
      <u/>
      <sz val="11"/>
      <color theme="7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5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/>
    <xf numFmtId="1" fontId="5" fillId="0" borderId="0" xfId="0" applyNumberFormat="1" applyFont="1"/>
    <xf numFmtId="1" fontId="0" fillId="0" borderId="0" xfId="0" applyNumberFormat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6" fillId="0" borderId="0" xfId="0" applyNumberFormat="1" applyFont="1"/>
    <xf numFmtId="1" fontId="7" fillId="0" borderId="0" xfId="0" applyNumberFormat="1" applyFont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1" fontId="7" fillId="0" borderId="3" xfId="0" applyNumberFormat="1" applyFont="1" applyBorder="1"/>
    <xf numFmtId="9" fontId="6" fillId="0" borderId="0" xfId="2" applyFont="1" applyBorder="1" applyAlignment="1">
      <alignment horizontal="center" vertical="center"/>
    </xf>
    <xf numFmtId="9" fontId="10" fillId="0" borderId="0" xfId="2" applyFont="1" applyBorder="1" applyAlignment="1">
      <alignment horizontal="center" vertical="center"/>
    </xf>
    <xf numFmtId="9" fontId="10" fillId="0" borderId="4" xfId="2" applyFont="1" applyBorder="1" applyAlignment="1">
      <alignment horizontal="center" vertical="center"/>
    </xf>
    <xf numFmtId="9" fontId="10" fillId="0" borderId="0" xfId="2" applyFont="1" applyFill="1" applyBorder="1" applyAlignment="1">
      <alignment horizontal="center" vertical="center"/>
    </xf>
    <xf numFmtId="1" fontId="4" fillId="0" borderId="3" xfId="0" applyNumberFormat="1" applyFont="1" applyBorder="1"/>
    <xf numFmtId="9" fontId="11" fillId="0" borderId="0" xfId="2" applyFont="1" applyBorder="1" applyAlignment="1">
      <alignment horizontal="center" vertical="center"/>
    </xf>
    <xf numFmtId="9" fontId="12" fillId="0" borderId="0" xfId="2" applyFont="1" applyBorder="1" applyAlignment="1">
      <alignment horizontal="center" vertical="center"/>
    </xf>
    <xf numFmtId="9" fontId="11" fillId="0" borderId="0" xfId="2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/>
    </xf>
    <xf numFmtId="164" fontId="11" fillId="0" borderId="0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9" fontId="13" fillId="0" borderId="0" xfId="2" applyFont="1" applyBorder="1" applyAlignment="1">
      <alignment horizontal="center" vertical="center"/>
    </xf>
    <xf numFmtId="9" fontId="10" fillId="0" borderId="5" xfId="2" applyFont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/>
    </xf>
    <xf numFmtId="164" fontId="11" fillId="0" borderId="5" xfId="1" applyNumberFormat="1" applyFont="1" applyBorder="1" applyAlignment="1">
      <alignment horizontal="center"/>
    </xf>
    <xf numFmtId="9" fontId="11" fillId="0" borderId="5" xfId="2" applyFont="1" applyBorder="1" applyAlignment="1">
      <alignment horizontal="center" vertical="center"/>
    </xf>
    <xf numFmtId="1" fontId="14" fillId="0" borderId="3" xfId="0" applyNumberFormat="1" applyFont="1" applyBorder="1"/>
    <xf numFmtId="9" fontId="14" fillId="0" borderId="0" xfId="2" applyFont="1" applyBorder="1" applyAlignment="1">
      <alignment horizontal="center" vertical="center"/>
    </xf>
    <xf numFmtId="9" fontId="14" fillId="0" borderId="5" xfId="2" applyFont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1" fontId="15" fillId="0" borderId="3" xfId="0" applyNumberFormat="1" applyFont="1" applyBorder="1"/>
    <xf numFmtId="9" fontId="15" fillId="0" borderId="0" xfId="2" applyFont="1" applyBorder="1" applyAlignment="1">
      <alignment horizontal="center" vertical="center"/>
    </xf>
    <xf numFmtId="9" fontId="15" fillId="0" borderId="5" xfId="2" applyFont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0" fontId="14" fillId="0" borderId="0" xfId="0" applyFont="1"/>
    <xf numFmtId="1" fontId="14" fillId="0" borderId="6" xfId="0" applyNumberFormat="1" applyFont="1" applyBorder="1"/>
    <xf numFmtId="9" fontId="14" fillId="0" borderId="7" xfId="2" applyFont="1" applyBorder="1" applyAlignment="1">
      <alignment horizontal="center" vertical="center"/>
    </xf>
    <xf numFmtId="9" fontId="14" fillId="0" borderId="8" xfId="2" applyFont="1" applyBorder="1" applyAlignment="1">
      <alignment horizontal="center" vertical="center"/>
    </xf>
    <xf numFmtId="1" fontId="15" fillId="0" borderId="6" xfId="0" applyNumberFormat="1" applyFont="1" applyBorder="1"/>
    <xf numFmtId="9" fontId="15" fillId="0" borderId="7" xfId="2" applyFont="1" applyBorder="1" applyAlignment="1">
      <alignment horizontal="center" vertical="center"/>
    </xf>
    <xf numFmtId="9" fontId="15" fillId="0" borderId="8" xfId="2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0" fontId="1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" fontId="17" fillId="0" borderId="0" xfId="0" applyNumberFormat="1" applyFont="1"/>
    <xf numFmtId="1" fontId="18" fillId="0" borderId="0" xfId="0" applyNumberFormat="1" applyFont="1"/>
    <xf numFmtId="1" fontId="4" fillId="0" borderId="0" xfId="0" applyNumberFormat="1" applyFont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0" xfId="0" applyNumberFormat="1" applyFont="1" applyFill="1" applyBorder="1" applyAlignment="1">
      <alignment horizontal="center" vertical="center"/>
    </xf>
    <xf numFmtId="9" fontId="21" fillId="0" borderId="0" xfId="2" applyFont="1" applyBorder="1" applyAlignment="1">
      <alignment horizontal="center" vertical="center"/>
    </xf>
    <xf numFmtId="9" fontId="21" fillId="0" borderId="4" xfId="2" applyFont="1" applyBorder="1" applyAlignment="1">
      <alignment horizontal="center" vertical="center"/>
    </xf>
    <xf numFmtId="1" fontId="7" fillId="0" borderId="0" xfId="0" applyNumberFormat="1" applyFont="1"/>
    <xf numFmtId="2" fontId="19" fillId="0" borderId="5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9" fontId="21" fillId="0" borderId="5" xfId="2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/>
    <xf numFmtId="2" fontId="14" fillId="0" borderId="7" xfId="0" applyNumberFormat="1" applyFont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 vertical="center"/>
    </xf>
    <xf numFmtId="2" fontId="15" fillId="0" borderId="7" xfId="0" applyNumberFormat="1" applyFont="1" applyBorder="1" applyAlignment="1">
      <alignment horizontal="center" vertical="center"/>
    </xf>
    <xf numFmtId="2" fontId="15" fillId="0" borderId="8" xfId="0" applyNumberFormat="1" applyFont="1" applyBorder="1" applyAlignment="1">
      <alignment horizontal="center" vertical="center"/>
    </xf>
    <xf numFmtId="0" fontId="24" fillId="0" borderId="0" xfId="0" applyFont="1"/>
    <xf numFmtId="0" fontId="9" fillId="2" borderId="1" xfId="0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right"/>
    </xf>
    <xf numFmtId="10" fontId="25" fillId="0" borderId="1" xfId="2" applyNumberFormat="1" applyFont="1" applyBorder="1" applyAlignment="1">
      <alignment horizontal="center" vertical="center"/>
    </xf>
    <xf numFmtId="10" fontId="26" fillId="0" borderId="1" xfId="2" applyNumberFormat="1" applyFont="1" applyBorder="1" applyAlignment="1">
      <alignment horizontal="center" vertical="center"/>
    </xf>
    <xf numFmtId="10" fontId="27" fillId="0" borderId="1" xfId="2" applyNumberFormat="1" applyFont="1" applyBorder="1" applyAlignment="1">
      <alignment horizontal="center" vertical="center"/>
    </xf>
    <xf numFmtId="165" fontId="28" fillId="0" borderId="0" xfId="2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/>
    <xf numFmtId="1" fontId="30" fillId="0" borderId="3" xfId="0" applyNumberFormat="1" applyFont="1" applyBorder="1"/>
    <xf numFmtId="165" fontId="31" fillId="0" borderId="11" xfId="2" applyNumberFormat="1" applyFont="1" applyBorder="1" applyAlignment="1">
      <alignment horizontal="center" vertical="center"/>
    </xf>
    <xf numFmtId="165" fontId="31" fillId="0" borderId="12" xfId="2" applyNumberFormat="1" applyFont="1" applyBorder="1" applyAlignment="1">
      <alignment horizontal="center" vertical="center"/>
    </xf>
    <xf numFmtId="165" fontId="31" fillId="0" borderId="4" xfId="2" applyNumberFormat="1" applyFont="1" applyBorder="1" applyAlignment="1">
      <alignment horizontal="center" vertical="center"/>
    </xf>
    <xf numFmtId="165" fontId="31" fillId="0" borderId="0" xfId="2" applyNumberFormat="1" applyFont="1" applyFill="1" applyBorder="1" applyAlignment="1">
      <alignment horizontal="center" vertical="center"/>
    </xf>
    <xf numFmtId="0" fontId="30" fillId="0" borderId="0" xfId="0" applyFont="1"/>
    <xf numFmtId="0" fontId="29" fillId="0" borderId="0" xfId="0" applyFont="1"/>
    <xf numFmtId="165" fontId="31" fillId="0" borderId="3" xfId="2" applyNumberFormat="1" applyFont="1" applyBorder="1" applyAlignment="1">
      <alignment horizontal="center" vertical="center"/>
    </xf>
    <xf numFmtId="165" fontId="31" fillId="0" borderId="0" xfId="2" applyNumberFormat="1" applyFont="1" applyBorder="1" applyAlignment="1">
      <alignment horizontal="center" vertical="center"/>
    </xf>
    <xf numFmtId="165" fontId="31" fillId="0" borderId="5" xfId="2" applyNumberFormat="1" applyFont="1" applyBorder="1" applyAlignment="1">
      <alignment horizontal="center" vertical="center"/>
    </xf>
    <xf numFmtId="165" fontId="32" fillId="0" borderId="0" xfId="2" applyNumberFormat="1" applyFont="1" applyFill="1" applyBorder="1" applyAlignment="1">
      <alignment horizontal="center" vertical="center"/>
    </xf>
    <xf numFmtId="0" fontId="32" fillId="0" borderId="0" xfId="0" applyFont="1"/>
    <xf numFmtId="0" fontId="33" fillId="0" borderId="0" xfId="0" applyFont="1" applyFill="1" applyBorder="1"/>
    <xf numFmtId="1" fontId="32" fillId="0" borderId="3" xfId="0" applyNumberFormat="1" applyFont="1" applyBorder="1"/>
    <xf numFmtId="165" fontId="32" fillId="0" borderId="3" xfId="2" applyNumberFormat="1" applyFont="1" applyBorder="1" applyAlignment="1">
      <alignment horizontal="center" vertical="center"/>
    </xf>
    <xf numFmtId="165" fontId="32" fillId="0" borderId="0" xfId="2" applyNumberFormat="1" applyFont="1" applyBorder="1" applyAlignment="1">
      <alignment horizontal="center" vertical="center"/>
    </xf>
    <xf numFmtId="165" fontId="32" fillId="0" borderId="5" xfId="2" applyNumberFormat="1" applyFont="1" applyBorder="1" applyAlignment="1">
      <alignment horizontal="center" vertical="center"/>
    </xf>
    <xf numFmtId="165" fontId="32" fillId="0" borderId="6" xfId="2" applyNumberFormat="1" applyFont="1" applyBorder="1" applyAlignment="1">
      <alignment horizontal="center" vertical="center"/>
    </xf>
    <xf numFmtId="165" fontId="32" fillId="0" borderId="7" xfId="2" applyNumberFormat="1" applyFont="1" applyBorder="1" applyAlignment="1">
      <alignment horizontal="center" vertical="center"/>
    </xf>
    <xf numFmtId="165" fontId="32" fillId="0" borderId="8" xfId="2" applyNumberFormat="1" applyFont="1" applyBorder="1" applyAlignment="1">
      <alignment horizontal="center" vertical="center"/>
    </xf>
    <xf numFmtId="10" fontId="34" fillId="0" borderId="0" xfId="2" applyNumberFormat="1" applyFont="1" applyFill="1" applyBorder="1" applyAlignment="1">
      <alignment horizontal="center" vertical="center"/>
    </xf>
    <xf numFmtId="1" fontId="30" fillId="0" borderId="0" xfId="0" applyNumberFormat="1" applyFont="1"/>
    <xf numFmtId="1" fontId="30" fillId="0" borderId="0" xfId="0" applyNumberFormat="1" applyFont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0" fontId="35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0" xfId="0" applyFont="1" applyFill="1" applyBorder="1" applyAlignment="1">
      <alignment horizontal="center" vertical="center"/>
    </xf>
    <xf numFmtId="17" fontId="39" fillId="0" borderId="0" xfId="0" applyNumberFormat="1" applyFont="1" applyAlignment="1">
      <alignment horizontal="center" vertical="center"/>
    </xf>
    <xf numFmtId="165" fontId="0" fillId="0" borderId="0" xfId="2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65" fontId="10" fillId="0" borderId="0" xfId="2" applyNumberFormat="1" applyFont="1" applyBorder="1" applyAlignment="1">
      <alignment horizontal="center" vertical="center"/>
    </xf>
    <xf numFmtId="165" fontId="10" fillId="0" borderId="4" xfId="2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65" fontId="10" fillId="0" borderId="5" xfId="2" applyNumberFormat="1" applyFont="1" applyBorder="1" applyAlignment="1">
      <alignment horizontal="center" vertical="center"/>
    </xf>
    <xf numFmtId="1" fontId="7" fillId="0" borderId="14" xfId="0" applyNumberFormat="1" applyFont="1" applyBorder="1"/>
    <xf numFmtId="1" fontId="10" fillId="0" borderId="15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65" fontId="10" fillId="0" borderId="15" xfId="2" applyNumberFormat="1" applyFont="1" applyBorder="1" applyAlignment="1">
      <alignment horizontal="center" vertical="center"/>
    </xf>
    <xf numFmtId="165" fontId="10" fillId="0" borderId="16" xfId="2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165" fontId="14" fillId="0" borderId="0" xfId="2" applyNumberFormat="1" applyFont="1" applyBorder="1" applyAlignment="1">
      <alignment horizontal="center" vertical="center"/>
    </xf>
    <xf numFmtId="165" fontId="14" fillId="0" borderId="5" xfId="2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65" fontId="14" fillId="0" borderId="8" xfId="2" applyNumberFormat="1" applyFont="1" applyBorder="1" applyAlignment="1">
      <alignment horizontal="center" vertical="center"/>
    </xf>
    <xf numFmtId="1" fontId="40" fillId="0" borderId="1" xfId="0" applyNumberFormat="1" applyFont="1" applyBorder="1" applyAlignment="1">
      <alignment horizontal="right"/>
    </xf>
    <xf numFmtId="1" fontId="40" fillId="0" borderId="1" xfId="0" applyNumberFormat="1" applyFont="1" applyBorder="1" applyAlignment="1">
      <alignment horizontal="center" vertical="center"/>
    </xf>
    <xf numFmtId="0" fontId="2" fillId="0" borderId="0" xfId="0" applyFont="1"/>
    <xf numFmtId="165" fontId="40" fillId="0" borderId="1" xfId="2" applyNumberFormat="1" applyFont="1" applyBorder="1" applyAlignment="1">
      <alignment horizontal="center" vertical="center"/>
    </xf>
    <xf numFmtId="1" fontId="19" fillId="0" borderId="0" xfId="0" applyNumberFormat="1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165" fontId="19" fillId="0" borderId="0" xfId="2" applyNumberFormat="1" applyFont="1" applyBorder="1" applyAlignment="1">
      <alignment horizontal="center" vertical="center"/>
    </xf>
    <xf numFmtId="165" fontId="19" fillId="0" borderId="4" xfId="2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/>
    </xf>
    <xf numFmtId="165" fontId="19" fillId="0" borderId="5" xfId="2" applyNumberFormat="1" applyFont="1" applyBorder="1" applyAlignment="1">
      <alignment horizontal="center" vertical="center"/>
    </xf>
    <xf numFmtId="1" fontId="7" fillId="0" borderId="17" xfId="0" applyNumberFormat="1" applyFont="1" applyBorder="1"/>
    <xf numFmtId="1" fontId="19" fillId="0" borderId="18" xfId="0" applyNumberFormat="1" applyFont="1" applyBorder="1" applyAlignment="1">
      <alignment horizontal="center" vertical="center"/>
    </xf>
    <xf numFmtId="1" fontId="19" fillId="0" borderId="19" xfId="0" applyNumberFormat="1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65" fontId="19" fillId="0" borderId="18" xfId="2" applyNumberFormat="1" applyFont="1" applyBorder="1" applyAlignment="1">
      <alignment horizontal="center" vertical="center"/>
    </xf>
    <xf numFmtId="165" fontId="19" fillId="0" borderId="19" xfId="2" applyNumberFormat="1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center" vertical="center"/>
    </xf>
    <xf numFmtId="165" fontId="27" fillId="0" borderId="1" xfId="2" applyNumberFormat="1" applyFont="1" applyBorder="1" applyAlignment="1">
      <alignment horizontal="center" vertical="center"/>
    </xf>
    <xf numFmtId="1" fontId="28" fillId="0" borderId="0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165" fontId="28" fillId="0" borderId="0" xfId="2" applyNumberFormat="1" applyFont="1" applyBorder="1" applyAlignment="1">
      <alignment horizontal="center" vertical="center"/>
    </xf>
    <xf numFmtId="165" fontId="28" fillId="0" borderId="12" xfId="2" applyNumberFormat="1" applyFont="1" applyBorder="1" applyAlignment="1">
      <alignment horizontal="center" vertical="center"/>
    </xf>
    <xf numFmtId="165" fontId="28" fillId="0" borderId="4" xfId="2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165" fontId="28" fillId="0" borderId="5" xfId="2" applyNumberFormat="1" applyFon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/>
    </xf>
    <xf numFmtId="1" fontId="28" fillId="0" borderId="16" xfId="0" applyNumberFormat="1" applyFont="1" applyBorder="1" applyAlignment="1">
      <alignment horizontal="center" vertical="center"/>
    </xf>
    <xf numFmtId="165" fontId="28" fillId="0" borderId="15" xfId="2" applyNumberFormat="1" applyFont="1" applyBorder="1" applyAlignment="1">
      <alignment horizontal="center" vertical="center"/>
    </xf>
    <xf numFmtId="165" fontId="28" fillId="0" borderId="16" xfId="2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165" fontId="25" fillId="0" borderId="1" xfId="2" applyNumberFormat="1" applyFont="1" applyBorder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0" fontId="3" fillId="0" borderId="0" xfId="0" applyNumberFormat="1" applyFont="1" applyAlignment="1" applyProtection="1">
      <alignment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41" fillId="0" borderId="0" xfId="0" applyFont="1" applyAlignment="1" applyProtection="1">
      <alignment horizontal="center" vertical="center"/>
    </xf>
    <xf numFmtId="0" fontId="42" fillId="0" borderId="0" xfId="0" applyFont="1" applyAlignment="1" applyProtection="1">
      <alignment horizontal="right" vertical="center"/>
    </xf>
    <xf numFmtId="0" fontId="43" fillId="0" borderId="0" xfId="0" applyFont="1" applyAlignment="1" applyProtection="1">
      <alignment horizontal="left" vertical="center"/>
    </xf>
    <xf numFmtId="17" fontId="44" fillId="0" borderId="0" xfId="0" applyNumberFormat="1" applyFont="1" applyAlignment="1" applyProtection="1">
      <alignment horizontal="center" vertical="center"/>
    </xf>
    <xf numFmtId="0" fontId="0" fillId="0" borderId="0" xfId="0" applyProtection="1"/>
    <xf numFmtId="0" fontId="3" fillId="0" borderId="0" xfId="0" applyFont="1" applyAlignment="1">
      <alignment vertic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7" fontId="2" fillId="0" borderId="0" xfId="0" applyNumberFormat="1" applyFont="1" applyAlignment="1">
      <alignment horizontal="center" vertical="center"/>
    </xf>
    <xf numFmtId="166" fontId="26" fillId="2" borderId="1" xfId="0" applyNumberFormat="1" applyFont="1" applyFill="1" applyBorder="1" applyAlignment="1" applyProtection="1">
      <alignment horizontal="center" vertical="center"/>
    </xf>
    <xf numFmtId="0" fontId="46" fillId="0" borderId="0" xfId="0" applyFont="1" applyAlignment="1" applyProtection="1">
      <alignment horizontal="center"/>
    </xf>
    <xf numFmtId="0" fontId="7" fillId="0" borderId="0" xfId="0" applyFont="1" applyFill="1" applyProtection="1"/>
    <xf numFmtId="0" fontId="47" fillId="0" borderId="0" xfId="0" applyFont="1" applyAlignment="1" applyProtection="1">
      <alignment horizontal="right"/>
    </xf>
    <xf numFmtId="0" fontId="48" fillId="0" borderId="13" xfId="0" applyFont="1" applyBorder="1" applyAlignment="1" applyProtection="1">
      <alignment horizontal="center"/>
      <protection locked="0"/>
    </xf>
    <xf numFmtId="0" fontId="49" fillId="0" borderId="13" xfId="0" applyFont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left" vertical="center"/>
    </xf>
    <xf numFmtId="0" fontId="45" fillId="0" borderId="0" xfId="0" applyFont="1" applyFill="1" applyProtection="1"/>
    <xf numFmtId="166" fontId="26" fillId="0" borderId="0" xfId="0" applyNumberFormat="1" applyFont="1" applyFill="1" applyBorder="1" applyAlignment="1" applyProtection="1">
      <alignment horizontal="center" vertical="center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46" fillId="0" borderId="0" xfId="0" applyFont="1" applyFill="1" applyAlignment="1" applyProtection="1">
      <alignment horizontal="center"/>
    </xf>
    <xf numFmtId="1" fontId="5" fillId="0" borderId="0" xfId="0" applyNumberFormat="1" applyFont="1" applyAlignment="1">
      <alignment vertical="center"/>
    </xf>
    <xf numFmtId="1" fontId="2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 applyProtection="1">
      <alignment vertical="center"/>
    </xf>
    <xf numFmtId="1" fontId="0" fillId="0" borderId="0" xfId="0" applyNumberForma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9" fillId="0" borderId="0" xfId="0" applyFont="1" applyProtection="1"/>
    <xf numFmtId="0" fontId="46" fillId="2" borderId="0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center" wrapText="1"/>
    </xf>
    <xf numFmtId="0" fontId="46" fillId="2" borderId="0" xfId="0" applyFont="1" applyFill="1" applyBorder="1" applyAlignment="1" applyProtection="1">
      <alignment horizontal="center" vertical="center" wrapText="1"/>
    </xf>
    <xf numFmtId="1" fontId="7" fillId="0" borderId="3" xfId="0" applyNumberFormat="1" applyFont="1" applyBorder="1" applyAlignment="1">
      <alignment vertical="center"/>
    </xf>
    <xf numFmtId="1" fontId="6" fillId="0" borderId="0" xfId="0" applyNumberFormat="1" applyFont="1" applyBorder="1" applyAlignment="1">
      <alignment horizontal="left" vertical="center"/>
    </xf>
    <xf numFmtId="0" fontId="7" fillId="0" borderId="3" xfId="0" applyNumberFormat="1" applyFont="1" applyBorder="1" applyAlignment="1" applyProtection="1">
      <alignment vertical="center"/>
    </xf>
    <xf numFmtId="167" fontId="10" fillId="0" borderId="0" xfId="0" applyNumberFormat="1" applyFont="1" applyBorder="1" applyAlignment="1" applyProtection="1">
      <alignment horizontal="center" vertical="center"/>
    </xf>
    <xf numFmtId="167" fontId="10" fillId="0" borderId="5" xfId="0" applyNumberFormat="1" applyFont="1" applyBorder="1" applyAlignment="1" applyProtection="1">
      <alignment horizontal="center" vertical="center"/>
    </xf>
    <xf numFmtId="167" fontId="6" fillId="0" borderId="0" xfId="0" applyNumberFormat="1" applyFont="1" applyBorder="1" applyAlignment="1" applyProtection="1">
      <alignment horizontal="center" vertical="center"/>
    </xf>
    <xf numFmtId="0" fontId="7" fillId="0" borderId="0" xfId="0" applyFont="1" applyProtection="1"/>
    <xf numFmtId="1" fontId="14" fillId="0" borderId="20" xfId="0" applyNumberFormat="1" applyFont="1" applyBorder="1" applyAlignment="1">
      <alignment vertical="center"/>
    </xf>
    <xf numFmtId="1" fontId="14" fillId="0" borderId="21" xfId="0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/>
    </xf>
    <xf numFmtId="1" fontId="14" fillId="0" borderId="22" xfId="0" applyNumberFormat="1" applyFont="1" applyBorder="1" applyAlignment="1">
      <alignment horizontal="center"/>
    </xf>
    <xf numFmtId="1" fontId="22" fillId="0" borderId="21" xfId="0" applyNumberFormat="1" applyFont="1" applyBorder="1" applyAlignment="1">
      <alignment horizontal="left"/>
    </xf>
    <xf numFmtId="0" fontId="14" fillId="0" borderId="20" xfId="0" applyNumberFormat="1" applyFont="1" applyBorder="1" applyAlignment="1" applyProtection="1">
      <alignment vertical="center"/>
    </xf>
    <xf numFmtId="167" fontId="14" fillId="0" borderId="21" xfId="0" applyNumberFormat="1" applyFont="1" applyBorder="1" applyAlignment="1" applyProtection="1">
      <alignment horizontal="center" vertical="center"/>
    </xf>
    <xf numFmtId="167" fontId="14" fillId="0" borderId="21" xfId="0" applyNumberFormat="1" applyFont="1" applyBorder="1" applyAlignment="1" applyProtection="1">
      <alignment horizontal="center"/>
    </xf>
    <xf numFmtId="167" fontId="14" fillId="0" borderId="22" xfId="0" applyNumberFormat="1" applyFont="1" applyBorder="1" applyAlignment="1" applyProtection="1">
      <alignment horizontal="center"/>
    </xf>
    <xf numFmtId="167" fontId="22" fillId="0" borderId="21" xfId="0" applyNumberFormat="1" applyFont="1" applyBorder="1" applyAlignment="1" applyProtection="1">
      <alignment horizontal="center"/>
    </xf>
    <xf numFmtId="167" fontId="7" fillId="0" borderId="0" xfId="0" applyNumberFormat="1" applyFont="1" applyProtection="1"/>
    <xf numFmtId="1" fontId="14" fillId="0" borderId="3" xfId="0" applyNumberFormat="1" applyFont="1" applyBorder="1" applyAlignment="1">
      <alignment vertical="center"/>
    </xf>
    <xf numFmtId="1" fontId="14" fillId="0" borderId="0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1" fontId="22" fillId="0" borderId="0" xfId="0" applyNumberFormat="1" applyFont="1" applyBorder="1" applyAlignment="1">
      <alignment horizontal="left"/>
    </xf>
    <xf numFmtId="0" fontId="14" fillId="0" borderId="3" xfId="0" applyNumberFormat="1" applyFont="1" applyBorder="1" applyAlignment="1" applyProtection="1">
      <alignment vertical="center"/>
    </xf>
    <xf numFmtId="167" fontId="14" fillId="0" borderId="0" xfId="0" applyNumberFormat="1" applyFont="1" applyBorder="1" applyAlignment="1" applyProtection="1">
      <alignment horizontal="center"/>
    </xf>
    <xf numFmtId="167" fontId="14" fillId="0" borderId="5" xfId="0" applyNumberFormat="1" applyFont="1" applyBorder="1" applyAlignment="1" applyProtection="1">
      <alignment horizontal="center"/>
    </xf>
    <xf numFmtId="167" fontId="22" fillId="0" borderId="0" xfId="0" applyNumberFormat="1" applyFont="1" applyBorder="1" applyAlignment="1" applyProtection="1">
      <alignment horizontal="center"/>
    </xf>
    <xf numFmtId="1" fontId="22" fillId="0" borderId="0" xfId="0" applyNumberFormat="1" applyFont="1" applyBorder="1" applyAlignment="1">
      <alignment horizontal="left" vertical="center"/>
    </xf>
    <xf numFmtId="167" fontId="14" fillId="0" borderId="0" xfId="0" applyNumberFormat="1" applyFont="1" applyBorder="1" applyAlignment="1" applyProtection="1">
      <alignment horizontal="center" vertical="center"/>
    </xf>
    <xf numFmtId="167" fontId="14" fillId="0" borderId="8" xfId="0" applyNumberFormat="1" applyFont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/>
    </xf>
    <xf numFmtId="1" fontId="40" fillId="0" borderId="0" xfId="0" applyNumberFormat="1" applyFont="1" applyBorder="1" applyAlignment="1">
      <alignment horizontal="center" vertical="center"/>
    </xf>
    <xf numFmtId="167" fontId="40" fillId="0" borderId="0" xfId="0" applyNumberFormat="1" applyFont="1" applyBorder="1" applyAlignment="1" applyProtection="1">
      <alignment horizontal="center" vertical="center"/>
    </xf>
    <xf numFmtId="1" fontId="40" fillId="0" borderId="1" xfId="0" applyNumberFormat="1" applyFont="1" applyBorder="1" applyAlignment="1">
      <alignment horizontal="right" vertical="center"/>
    </xf>
    <xf numFmtId="0" fontId="40" fillId="0" borderId="1" xfId="0" applyNumberFormat="1" applyFont="1" applyBorder="1" applyAlignment="1" applyProtection="1">
      <alignment horizontal="right" vertical="center"/>
    </xf>
    <xf numFmtId="167" fontId="40" fillId="0" borderId="1" xfId="0" applyNumberFormat="1" applyFont="1" applyBorder="1" applyAlignment="1" applyProtection="1">
      <alignment horizontal="center" vertical="center"/>
    </xf>
    <xf numFmtId="1" fontId="7" fillId="0" borderId="0" xfId="0" applyNumberFormat="1" applyFont="1" applyAlignment="1">
      <alignment vertical="center"/>
    </xf>
    <xf numFmtId="0" fontId="0" fillId="0" borderId="0" xfId="0" applyNumberFormat="1" applyAlignment="1" applyProtection="1">
      <alignment vertical="center"/>
    </xf>
    <xf numFmtId="1" fontId="17" fillId="0" borderId="0" xfId="0" applyNumberFormat="1" applyFont="1" applyAlignment="1">
      <alignment vertical="center"/>
    </xf>
    <xf numFmtId="0" fontId="17" fillId="0" borderId="0" xfId="0" applyNumberFormat="1" applyFont="1" applyAlignment="1" applyProtection="1">
      <alignment vertical="center"/>
    </xf>
    <xf numFmtId="0" fontId="2" fillId="0" borderId="0" xfId="0" applyFont="1" applyProtection="1"/>
    <xf numFmtId="1" fontId="18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 applyProtection="1">
      <alignment horizontal="center" vertical="center"/>
    </xf>
    <xf numFmtId="167" fontId="19" fillId="0" borderId="5" xfId="0" applyNumberFormat="1" applyFont="1" applyBorder="1" applyAlignment="1" applyProtection="1">
      <alignment horizontal="center" vertical="center"/>
    </xf>
    <xf numFmtId="167" fontId="18" fillId="0" borderId="0" xfId="0" applyNumberFormat="1" applyFont="1" applyBorder="1" applyAlignment="1" applyProtection="1">
      <alignment horizontal="center" vertical="center"/>
    </xf>
    <xf numFmtId="1" fontId="27" fillId="0" borderId="1" xfId="0" applyNumberFormat="1" applyFont="1" applyBorder="1" applyAlignment="1">
      <alignment horizontal="right" vertical="center"/>
    </xf>
    <xf numFmtId="0" fontId="27" fillId="0" borderId="1" xfId="0" applyNumberFormat="1" applyFont="1" applyBorder="1" applyAlignment="1" applyProtection="1">
      <alignment horizontal="right" vertical="center"/>
    </xf>
    <xf numFmtId="167" fontId="27" fillId="0" borderId="1" xfId="0" applyNumberFormat="1" applyFont="1" applyBorder="1" applyAlignment="1" applyProtection="1">
      <alignment horizontal="center" vertical="center"/>
    </xf>
    <xf numFmtId="167" fontId="45" fillId="0" borderId="0" xfId="0" applyNumberFormat="1" applyFont="1" applyAlignment="1" applyProtection="1">
      <alignment horizontal="center"/>
    </xf>
    <xf numFmtId="1" fontId="7" fillId="0" borderId="0" xfId="0" applyNumberFormat="1" applyFont="1" applyProtection="1"/>
    <xf numFmtId="1" fontId="45" fillId="0" borderId="0" xfId="0" applyNumberFormat="1" applyFont="1" applyAlignment="1" applyProtection="1">
      <alignment horizontal="center"/>
    </xf>
    <xf numFmtId="0" fontId="15" fillId="0" borderId="0" xfId="0" applyNumberFormat="1" applyFont="1" applyAlignment="1" applyProtection="1">
      <alignment horizontal="center" vertical="center"/>
    </xf>
    <xf numFmtId="2" fontId="15" fillId="0" borderId="0" xfId="0" applyNumberFormat="1" applyFont="1" applyAlignment="1" applyProtection="1">
      <alignment horizontal="center" vertical="center"/>
    </xf>
    <xf numFmtId="165" fontId="15" fillId="0" borderId="0" xfId="2" applyNumberFormat="1" applyFont="1"/>
    <xf numFmtId="0" fontId="4" fillId="0" borderId="0" xfId="0" applyFont="1" applyAlignment="1">
      <alignment horizontal="right"/>
    </xf>
    <xf numFmtId="0" fontId="50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1" fontId="15" fillId="0" borderId="0" xfId="0" applyNumberFormat="1" applyFont="1" applyAlignment="1" applyProtection="1">
      <alignment horizontal="right" vertical="center" wrapText="1"/>
      <protection locked="0"/>
    </xf>
    <xf numFmtId="9" fontId="15" fillId="0" borderId="3" xfId="2" applyNumberFormat="1" applyFont="1" applyBorder="1" applyAlignment="1">
      <alignment horizontal="center"/>
    </xf>
    <xf numFmtId="9" fontId="15" fillId="0" borderId="2" xfId="2" applyNumberFormat="1" applyFont="1" applyBorder="1" applyAlignment="1">
      <alignment horizontal="center"/>
    </xf>
    <xf numFmtId="165" fontId="15" fillId="0" borderId="0" xfId="2" applyNumberFormat="1" applyFont="1" applyAlignment="1">
      <alignment horizontal="center"/>
    </xf>
    <xf numFmtId="1" fontId="15" fillId="0" borderId="0" xfId="0" applyNumberFormat="1" applyFont="1" applyBorder="1" applyAlignment="1" applyProtection="1">
      <alignment horizontal="right" vertical="center" wrapText="1"/>
      <protection locked="0"/>
    </xf>
    <xf numFmtId="168" fontId="15" fillId="0" borderId="5" xfId="0" applyNumberFormat="1" applyFont="1" applyBorder="1" applyAlignment="1" applyProtection="1">
      <alignment horizontal="center"/>
      <protection locked="0"/>
    </xf>
    <xf numFmtId="1" fontId="15" fillId="0" borderId="0" xfId="0" applyNumberFormat="1" applyFont="1" applyAlignment="1" applyProtection="1">
      <alignment horizontal="right"/>
      <protection locked="0"/>
    </xf>
    <xf numFmtId="1" fontId="15" fillId="0" borderId="0" xfId="0" applyNumberFormat="1" applyFont="1" applyBorder="1" applyAlignment="1" applyProtection="1">
      <alignment horizontal="right"/>
      <protection locked="0"/>
    </xf>
    <xf numFmtId="9" fontId="15" fillId="0" borderId="23" xfId="2" applyNumberFormat="1" applyFont="1" applyBorder="1" applyAlignment="1">
      <alignment horizontal="center"/>
    </xf>
    <xf numFmtId="0" fontId="7" fillId="2" borderId="2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4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9" fontId="9" fillId="0" borderId="24" xfId="0" applyNumberFormat="1" applyFont="1" applyBorder="1"/>
    <xf numFmtId="9" fontId="39" fillId="0" borderId="11" xfId="2" applyNumberFormat="1" applyFont="1" applyBorder="1" applyAlignment="1">
      <alignment horizontal="center"/>
    </xf>
    <xf numFmtId="9" fontId="39" fillId="0" borderId="12" xfId="2" applyNumberFormat="1" applyFont="1" applyBorder="1" applyAlignment="1">
      <alignment horizontal="center"/>
    </xf>
    <xf numFmtId="9" fontId="39" fillId="0" borderId="4" xfId="2" applyNumberFormat="1" applyFont="1" applyBorder="1" applyAlignment="1">
      <alignment horizontal="center"/>
    </xf>
    <xf numFmtId="168" fontId="4" fillId="0" borderId="0" xfId="0" applyNumberFormat="1" applyFont="1"/>
    <xf numFmtId="169" fontId="8" fillId="0" borderId="0" xfId="0" applyNumberFormat="1" applyFont="1" applyBorder="1"/>
    <xf numFmtId="168" fontId="45" fillId="0" borderId="5" xfId="0" applyNumberFormat="1" applyFont="1" applyBorder="1" applyAlignment="1">
      <alignment horizontal="center"/>
    </xf>
    <xf numFmtId="168" fontId="15" fillId="0" borderId="4" xfId="0" applyNumberFormat="1" applyFont="1" applyBorder="1" applyAlignment="1">
      <alignment horizontal="center"/>
    </xf>
    <xf numFmtId="0" fontId="0" fillId="0" borderId="0" xfId="0" applyFont="1"/>
    <xf numFmtId="169" fontId="9" fillId="0" borderId="2" xfId="0" applyNumberFormat="1" applyFont="1" applyBorder="1"/>
    <xf numFmtId="9" fontId="39" fillId="0" borderId="3" xfId="2" applyNumberFormat="1" applyFont="1" applyBorder="1" applyAlignment="1">
      <alignment horizontal="center"/>
    </xf>
    <xf numFmtId="9" fontId="39" fillId="0" borderId="0" xfId="2" applyNumberFormat="1" applyFont="1" applyBorder="1" applyAlignment="1">
      <alignment horizontal="center"/>
    </xf>
    <xf numFmtId="9" fontId="39" fillId="0" borderId="5" xfId="2" applyNumberFormat="1" applyFont="1" applyBorder="1" applyAlignment="1">
      <alignment horizontal="center"/>
    </xf>
    <xf numFmtId="168" fontId="15" fillId="0" borderId="5" xfId="0" applyNumberFormat="1" applyFont="1" applyBorder="1" applyAlignment="1">
      <alignment horizontal="center"/>
    </xf>
    <xf numFmtId="169" fontId="9" fillId="0" borderId="25" xfId="0" applyNumberFormat="1" applyFont="1" applyBorder="1"/>
    <xf numFmtId="9" fontId="39" fillId="0" borderId="17" xfId="2" applyNumberFormat="1" applyFont="1" applyBorder="1" applyAlignment="1">
      <alignment horizontal="center"/>
    </xf>
    <xf numFmtId="9" fontId="39" fillId="0" borderId="18" xfId="2" applyNumberFormat="1" applyFont="1" applyBorder="1" applyAlignment="1">
      <alignment horizontal="center"/>
    </xf>
    <xf numFmtId="9" fontId="39" fillId="0" borderId="19" xfId="2" applyNumberFormat="1" applyFont="1" applyBorder="1" applyAlignment="1">
      <alignment horizontal="center"/>
    </xf>
    <xf numFmtId="165" fontId="15" fillId="0" borderId="18" xfId="2" applyNumberFormat="1" applyFont="1" applyBorder="1"/>
    <xf numFmtId="168" fontId="4" fillId="0" borderId="18" xfId="0" applyNumberFormat="1" applyFont="1" applyBorder="1"/>
    <xf numFmtId="169" fontId="8" fillId="0" borderId="18" xfId="0" applyNumberFormat="1" applyFont="1" applyBorder="1"/>
    <xf numFmtId="168" fontId="45" fillId="0" borderId="19" xfId="0" applyNumberFormat="1" applyFont="1" applyBorder="1" applyAlignment="1">
      <alignment horizontal="center"/>
    </xf>
    <xf numFmtId="168" fontId="15" fillId="0" borderId="19" xfId="0" applyNumberFormat="1" applyFont="1" applyBorder="1" applyAlignment="1">
      <alignment horizontal="center"/>
    </xf>
    <xf numFmtId="0" fontId="0" fillId="0" borderId="18" xfId="0" applyFont="1" applyBorder="1"/>
    <xf numFmtId="168" fontId="15" fillId="0" borderId="0" xfId="0" applyNumberFormat="1" applyFont="1"/>
    <xf numFmtId="168" fontId="46" fillId="0" borderId="5" xfId="0" applyNumberFormat="1" applyFont="1" applyBorder="1" applyAlignment="1">
      <alignment horizontal="center"/>
    </xf>
    <xf numFmtId="0" fontId="41" fillId="0" borderId="0" xfId="0" applyFont="1"/>
    <xf numFmtId="169" fontId="9" fillId="0" borderId="23" xfId="0" applyNumberFormat="1" applyFont="1" applyBorder="1"/>
    <xf numFmtId="9" fontId="39" fillId="0" borderId="6" xfId="2" applyNumberFormat="1" applyFont="1" applyBorder="1" applyAlignment="1">
      <alignment horizontal="center"/>
    </xf>
    <xf numFmtId="9" fontId="39" fillId="0" borderId="7" xfId="2" applyNumberFormat="1" applyFont="1" applyBorder="1" applyAlignment="1">
      <alignment horizontal="center"/>
    </xf>
    <xf numFmtId="9" fontId="39" fillId="0" borderId="8" xfId="2" applyNumberFormat="1" applyFont="1" applyBorder="1" applyAlignment="1">
      <alignment horizontal="center"/>
    </xf>
    <xf numFmtId="168" fontId="46" fillId="0" borderId="8" xfId="0" applyNumberFormat="1" applyFont="1" applyBorder="1" applyAlignment="1">
      <alignment horizontal="center"/>
    </xf>
    <xf numFmtId="168" fontId="15" fillId="0" borderId="8" xfId="0" applyNumberFormat="1" applyFont="1" applyBorder="1" applyAlignment="1">
      <alignment horizontal="center"/>
    </xf>
    <xf numFmtId="0" fontId="16" fillId="0" borderId="0" xfId="0" applyFont="1" applyBorder="1"/>
    <xf numFmtId="0" fontId="30" fillId="2" borderId="1" xfId="0" applyFont="1" applyFill="1" applyBorder="1" applyAlignment="1">
      <alignment horizontal="center" vertical="center" wrapText="1"/>
    </xf>
    <xf numFmtId="166" fontId="7" fillId="2" borderId="9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166" fontId="15" fillId="2" borderId="9" xfId="0" applyNumberFormat="1" applyFont="1" applyFill="1" applyBorder="1" applyAlignment="1">
      <alignment horizontal="center" vertical="center" wrapText="1"/>
    </xf>
    <xf numFmtId="168" fontId="15" fillId="0" borderId="2" xfId="0" applyNumberFormat="1" applyFont="1" applyBorder="1" applyAlignment="1" applyProtection="1">
      <alignment horizontal="center"/>
      <protection locked="0"/>
    </xf>
    <xf numFmtId="168" fontId="15" fillId="0" borderId="23" xfId="0" applyNumberFormat="1" applyFont="1" applyBorder="1" applyAlignment="1" applyProtection="1">
      <alignment horizontal="center"/>
      <protection locked="0"/>
    </xf>
    <xf numFmtId="9" fontId="39" fillId="0" borderId="24" xfId="2" applyNumberFormat="1" applyFont="1" applyBorder="1" applyAlignment="1">
      <alignment horizontal="center"/>
    </xf>
    <xf numFmtId="1" fontId="45" fillId="0" borderId="5" xfId="0" applyNumberFormat="1" applyFont="1" applyBorder="1" applyAlignment="1">
      <alignment horizontal="center"/>
    </xf>
    <xf numFmtId="9" fontId="39" fillId="0" borderId="2" xfId="2" applyNumberFormat="1" applyFont="1" applyBorder="1" applyAlignment="1">
      <alignment horizontal="center"/>
    </xf>
    <xf numFmtId="9" fontId="39" fillId="0" borderId="25" xfId="2" applyNumberFormat="1" applyFont="1" applyBorder="1" applyAlignment="1">
      <alignment horizontal="center"/>
    </xf>
    <xf numFmtId="0" fontId="4" fillId="0" borderId="18" xfId="0" applyFont="1" applyBorder="1"/>
    <xf numFmtId="1" fontId="45" fillId="0" borderId="19" xfId="0" applyNumberFormat="1" applyFont="1" applyBorder="1" applyAlignment="1">
      <alignment horizontal="center"/>
    </xf>
    <xf numFmtId="0" fontId="15" fillId="0" borderId="0" xfId="0" applyFont="1"/>
    <xf numFmtId="9" fontId="39" fillId="0" borderId="23" xfId="2" applyNumberFormat="1" applyFont="1" applyBorder="1" applyAlignment="1">
      <alignment horizontal="center"/>
    </xf>
    <xf numFmtId="1" fontId="45" fillId="0" borderId="8" xfId="0" applyNumberFormat="1" applyFont="1" applyBorder="1" applyAlignment="1">
      <alignment horizontal="center"/>
    </xf>
    <xf numFmtId="0" fontId="53" fillId="2" borderId="1" xfId="0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168" fontId="54" fillId="0" borderId="12" xfId="0" applyNumberFormat="1" applyFont="1" applyBorder="1" applyAlignment="1">
      <alignment horizontal="center"/>
    </xf>
    <xf numFmtId="168" fontId="54" fillId="0" borderId="4" xfId="0" applyNumberFormat="1" applyFont="1" applyBorder="1" applyAlignment="1">
      <alignment horizontal="center"/>
    </xf>
    <xf numFmtId="0" fontId="0" fillId="0" borderId="3" xfId="0" applyBorder="1"/>
    <xf numFmtId="1" fontId="55" fillId="0" borderId="0" xfId="0" applyNumberFormat="1" applyFont="1" applyBorder="1" applyAlignment="1">
      <alignment horizontal="center"/>
    </xf>
    <xf numFmtId="1" fontId="55" fillId="0" borderId="5" xfId="0" applyNumberFormat="1" applyFont="1" applyBorder="1" applyAlignment="1">
      <alignment horizontal="center"/>
    </xf>
    <xf numFmtId="0" fontId="0" fillId="0" borderId="6" xfId="0" applyBorder="1"/>
    <xf numFmtId="165" fontId="55" fillId="0" borderId="7" xfId="2" applyNumberFormat="1" applyFont="1" applyBorder="1" applyAlignment="1">
      <alignment horizontal="center"/>
    </xf>
    <xf numFmtId="165" fontId="55" fillId="0" borderId="7" xfId="0" applyNumberFormat="1" applyFont="1" applyBorder="1" applyAlignment="1">
      <alignment horizontal="center"/>
    </xf>
    <xf numFmtId="165" fontId="55" fillId="0" borderId="8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right"/>
    </xf>
    <xf numFmtId="1" fontId="55" fillId="0" borderId="12" xfId="0" applyNumberFormat="1" applyFont="1" applyBorder="1" applyAlignment="1">
      <alignment horizontal="center"/>
    </xf>
    <xf numFmtId="0" fontId="56" fillId="0" borderId="3" xfId="0" applyFont="1" applyBorder="1" applyAlignment="1">
      <alignment horizontal="right"/>
    </xf>
    <xf numFmtId="1" fontId="57" fillId="0" borderId="0" xfId="0" applyNumberFormat="1" applyFont="1" applyBorder="1" applyAlignment="1">
      <alignment horizontal="center"/>
    </xf>
    <xf numFmtId="0" fontId="0" fillId="0" borderId="6" xfId="0" applyFont="1" applyBorder="1" applyAlignment="1">
      <alignment horizontal="right"/>
    </xf>
    <xf numFmtId="1" fontId="55" fillId="0" borderId="7" xfId="0" applyNumberFormat="1" applyFont="1" applyBorder="1" applyAlignment="1">
      <alignment horizontal="center"/>
    </xf>
    <xf numFmtId="0" fontId="33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1" fontId="15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0" fontId="58" fillId="0" borderId="3" xfId="0" applyFont="1" applyBorder="1" applyAlignment="1">
      <alignment horizontal="right"/>
    </xf>
    <xf numFmtId="1" fontId="15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54" fillId="0" borderId="12" xfId="2" applyNumberFormat="1" applyFont="1" applyBorder="1" applyAlignment="1">
      <alignment horizontal="center"/>
    </xf>
    <xf numFmtId="165" fontId="54" fillId="0" borderId="4" xfId="2" applyNumberFormat="1" applyFont="1" applyBorder="1" applyAlignment="1">
      <alignment horizontal="center"/>
    </xf>
    <xf numFmtId="165" fontId="55" fillId="0" borderId="0" xfId="2" applyNumberFormat="1" applyFont="1" applyBorder="1" applyAlignment="1">
      <alignment horizontal="center"/>
    </xf>
    <xf numFmtId="165" fontId="55" fillId="0" borderId="5" xfId="2" applyNumberFormat="1" applyFont="1" applyBorder="1" applyAlignment="1">
      <alignment horizontal="center"/>
    </xf>
    <xf numFmtId="0" fontId="9" fillId="2" borderId="11" xfId="0" applyFont="1" applyFill="1" applyBorder="1" applyAlignment="1">
      <alignment horizontal="center" vertical="center" wrapText="1"/>
    </xf>
    <xf numFmtId="165" fontId="55" fillId="0" borderId="12" xfId="2" applyNumberFormat="1" applyFont="1" applyBorder="1" applyAlignment="1">
      <alignment horizontal="center"/>
    </xf>
    <xf numFmtId="165" fontId="55" fillId="0" borderId="12" xfId="0" applyNumberFormat="1" applyFont="1" applyBorder="1" applyAlignment="1">
      <alignment horizontal="center"/>
    </xf>
    <xf numFmtId="165" fontId="55" fillId="0" borderId="4" xfId="0" applyNumberFormat="1" applyFont="1" applyBorder="1" applyAlignment="1">
      <alignment horizontal="center"/>
    </xf>
    <xf numFmtId="0" fontId="46" fillId="2" borderId="6" xfId="0" applyFont="1" applyFill="1" applyBorder="1" applyAlignment="1">
      <alignment horizontal="center" vertical="center" wrapText="1"/>
    </xf>
    <xf numFmtId="165" fontId="40" fillId="0" borderId="7" xfId="2" applyNumberFormat="1" applyFont="1" applyBorder="1" applyAlignment="1">
      <alignment horizontal="center"/>
    </xf>
    <xf numFmtId="165" fontId="40" fillId="0" borderId="7" xfId="0" applyNumberFormat="1" applyFont="1" applyBorder="1" applyAlignment="1">
      <alignment horizontal="center"/>
    </xf>
    <xf numFmtId="165" fontId="40" fillId="0" borderId="8" xfId="0" applyNumberFormat="1" applyFont="1" applyBorder="1" applyAlignment="1">
      <alignment horizontal="center"/>
    </xf>
    <xf numFmtId="0" fontId="46" fillId="0" borderId="0" xfId="0" applyFont="1" applyFill="1" applyBorder="1" applyAlignment="1">
      <alignment horizontal="left" vertical="center"/>
    </xf>
    <xf numFmtId="0" fontId="45" fillId="0" borderId="0" xfId="0" applyFont="1"/>
    <xf numFmtId="1" fontId="60" fillId="0" borderId="5" xfId="0" applyNumberFormat="1" applyFont="1" applyBorder="1" applyAlignment="1">
      <alignment horizontal="center"/>
    </xf>
    <xf numFmtId="1" fontId="41" fillId="0" borderId="5" xfId="0" applyNumberFormat="1" applyFont="1" applyBorder="1" applyAlignment="1">
      <alignment horizontal="center"/>
    </xf>
    <xf numFmtId="1" fontId="41" fillId="0" borderId="8" xfId="0" applyNumberFormat="1" applyFont="1" applyBorder="1" applyAlignment="1">
      <alignment horizontal="center"/>
    </xf>
    <xf numFmtId="0" fontId="26" fillId="2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1" fontId="41" fillId="0" borderId="3" xfId="0" applyNumberFormat="1" applyFont="1" applyBorder="1" applyAlignment="1">
      <alignment horizontal="center"/>
    </xf>
    <xf numFmtId="1" fontId="60" fillId="0" borderId="3" xfId="0" applyNumberFormat="1" applyFont="1" applyBorder="1" applyAlignment="1">
      <alignment horizontal="center"/>
    </xf>
    <xf numFmtId="1" fontId="41" fillId="0" borderId="6" xfId="0" applyNumberFormat="1" applyFont="1" applyBorder="1" applyAlignment="1">
      <alignment horizontal="center"/>
    </xf>
    <xf numFmtId="1" fontId="61" fillId="0" borderId="0" xfId="0" applyNumberFormat="1" applyFont="1" applyBorder="1" applyAlignment="1">
      <alignment horizontal="center"/>
    </xf>
    <xf numFmtId="10" fontId="15" fillId="0" borderId="0" xfId="2" applyNumberFormat="1" applyFont="1" applyBorder="1" applyAlignment="1">
      <alignment horizontal="center"/>
    </xf>
    <xf numFmtId="10" fontId="55" fillId="0" borderId="12" xfId="2" applyNumberFormat="1" applyFont="1" applyBorder="1" applyAlignment="1">
      <alignment horizontal="center"/>
    </xf>
    <xf numFmtId="10" fontId="41" fillId="0" borderId="3" xfId="2" applyNumberFormat="1" applyFont="1" applyBorder="1" applyAlignment="1">
      <alignment horizontal="center"/>
    </xf>
    <xf numFmtId="10" fontId="41" fillId="0" borderId="5" xfId="2" applyNumberFormat="1" applyFont="1" applyBorder="1" applyAlignment="1">
      <alignment horizontal="center"/>
    </xf>
    <xf numFmtId="10" fontId="55" fillId="0" borderId="0" xfId="2" applyNumberFormat="1" applyFont="1" applyBorder="1" applyAlignment="1">
      <alignment horizontal="center"/>
    </xf>
    <xf numFmtId="10" fontId="55" fillId="0" borderId="7" xfId="2" applyNumberFormat="1" applyFont="1" applyBorder="1" applyAlignment="1">
      <alignment horizontal="center"/>
    </xf>
    <xf numFmtId="10" fontId="41" fillId="0" borderId="6" xfId="2" applyNumberFormat="1" applyFont="1" applyBorder="1" applyAlignment="1">
      <alignment horizontal="center"/>
    </xf>
    <xf numFmtId="10" fontId="41" fillId="0" borderId="8" xfId="2" applyNumberFormat="1" applyFont="1" applyBorder="1" applyAlignment="1">
      <alignment horizontal="center"/>
    </xf>
    <xf numFmtId="0" fontId="0" fillId="0" borderId="3" xfId="0" applyFont="1" applyBorder="1" applyAlignment="1">
      <alignment horizontal="right"/>
    </xf>
    <xf numFmtId="0" fontId="53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1" fontId="39" fillId="2" borderId="23" xfId="0" applyNumberFormat="1" applyFont="1" applyFill="1" applyBorder="1" applyAlignment="1">
      <alignment horizontal="center" vertical="center" wrapText="1"/>
    </xf>
    <xf numFmtId="1" fontId="39" fillId="2" borderId="24" xfId="0" applyNumberFormat="1" applyFont="1" applyFill="1" applyBorder="1" applyAlignment="1">
      <alignment horizontal="center" vertical="center" wrapText="1"/>
    </xf>
    <xf numFmtId="1" fontId="39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39" fillId="2" borderId="23" xfId="0" applyNumberFormat="1" applyFont="1" applyFill="1" applyBorder="1" applyAlignment="1">
      <alignment horizontal="center"/>
    </xf>
    <xf numFmtId="0" fontId="39" fillId="2" borderId="24" xfId="0" applyFont="1" applyFill="1" applyBorder="1" applyAlignment="1">
      <alignment horizontal="center"/>
    </xf>
    <xf numFmtId="170" fontId="15" fillId="0" borderId="11" xfId="0" applyNumberFormat="1" applyFont="1" applyBorder="1" applyAlignment="1">
      <alignment horizontal="center"/>
    </xf>
    <xf numFmtId="170" fontId="15" fillId="0" borderId="4" xfId="0" applyNumberFormat="1" applyFont="1" applyBorder="1" applyAlignment="1">
      <alignment horizontal="center"/>
    </xf>
    <xf numFmtId="170" fontId="15" fillId="0" borderId="3" xfId="0" applyNumberFormat="1" applyFont="1" applyBorder="1" applyAlignment="1">
      <alignment horizontal="center"/>
    </xf>
    <xf numFmtId="170" fontId="15" fillId="0" borderId="5" xfId="0" applyNumberFormat="1" applyFont="1" applyBorder="1" applyAlignment="1">
      <alignment horizontal="center"/>
    </xf>
    <xf numFmtId="170" fontId="15" fillId="0" borderId="6" xfId="0" applyNumberFormat="1" applyFont="1" applyBorder="1" applyAlignment="1">
      <alignment horizontal="center"/>
    </xf>
    <xf numFmtId="170" fontId="15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70" fontId="9" fillId="0" borderId="11" xfId="0" applyNumberFormat="1" applyFont="1" applyBorder="1" applyAlignment="1">
      <alignment horizontal="center"/>
    </xf>
    <xf numFmtId="170" fontId="9" fillId="0" borderId="12" xfId="0" applyNumberFormat="1" applyFont="1" applyBorder="1" applyAlignment="1">
      <alignment horizontal="center"/>
    </xf>
    <xf numFmtId="170" fontId="9" fillId="0" borderId="3" xfId="0" applyNumberFormat="1" applyFont="1" applyBorder="1" applyAlignment="1">
      <alignment horizontal="center"/>
    </xf>
    <xf numFmtId="170" fontId="9" fillId="0" borderId="0" xfId="0" applyNumberFormat="1" applyFont="1" applyBorder="1" applyAlignment="1">
      <alignment horizontal="center"/>
    </xf>
    <xf numFmtId="170" fontId="9" fillId="0" borderId="6" xfId="0" applyNumberFormat="1" applyFont="1" applyBorder="1" applyAlignment="1">
      <alignment horizontal="center"/>
    </xf>
    <xf numFmtId="170" fontId="9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165" fontId="55" fillId="0" borderId="2" xfId="2" applyNumberFormat="1" applyFont="1" applyBorder="1" applyAlignment="1">
      <alignment horizontal="center"/>
    </xf>
    <xf numFmtId="165" fontId="55" fillId="0" borderId="23" xfId="2" applyNumberFormat="1" applyFont="1" applyBorder="1" applyAlignment="1">
      <alignment horizontal="center"/>
    </xf>
    <xf numFmtId="165" fontId="40" fillId="0" borderId="2" xfId="2" applyNumberFormat="1" applyFont="1" applyBorder="1" applyAlignment="1">
      <alignment horizontal="center"/>
    </xf>
    <xf numFmtId="165" fontId="40" fillId="0" borderId="24" xfId="2" applyNumberFormat="1" applyFont="1" applyBorder="1" applyAlignment="1">
      <alignment horizontal="center"/>
    </xf>
    <xf numFmtId="165" fontId="55" fillId="0" borderId="24" xfId="2" applyNumberFormat="1" applyFont="1" applyBorder="1" applyAlignment="1">
      <alignment horizontal="center"/>
    </xf>
    <xf numFmtId="1" fontId="63" fillId="0" borderId="5" xfId="0" applyNumberFormat="1" applyFont="1" applyBorder="1" applyAlignment="1">
      <alignment horizontal="center"/>
    </xf>
    <xf numFmtId="1" fontId="63" fillId="0" borderId="8" xfId="0" applyNumberFormat="1" applyFont="1" applyBorder="1" applyAlignment="1">
      <alignment horizontal="center"/>
    </xf>
    <xf numFmtId="1" fontId="63" fillId="0" borderId="4" xfId="0" applyNumberFormat="1" applyFont="1" applyBorder="1" applyAlignment="1">
      <alignment horizontal="center"/>
    </xf>
    <xf numFmtId="1" fontId="63" fillId="0" borderId="12" xfId="0" applyNumberFormat="1" applyFont="1" applyBorder="1" applyAlignment="1">
      <alignment horizontal="center"/>
    </xf>
    <xf numFmtId="1" fontId="63" fillId="0" borderId="0" xfId="0" applyNumberFormat="1" applyFont="1" applyBorder="1" applyAlignment="1">
      <alignment horizontal="center"/>
    </xf>
    <xf numFmtId="1" fontId="63" fillId="0" borderId="7" xfId="0" applyNumberFormat="1" applyFont="1" applyBorder="1" applyAlignment="1">
      <alignment horizontal="center"/>
    </xf>
    <xf numFmtId="166" fontId="14" fillId="0" borderId="24" xfId="0" applyNumberFormat="1" applyFont="1" applyBorder="1" applyAlignment="1" applyProtection="1">
      <alignment horizontal="center" vertical="center"/>
    </xf>
    <xf numFmtId="166" fontId="14" fillId="0" borderId="2" xfId="0" applyNumberFormat="1" applyFont="1" applyBorder="1" applyAlignment="1" applyProtection="1">
      <alignment horizontal="center" vertical="center"/>
    </xf>
    <xf numFmtId="166" fontId="14" fillId="0" borderId="23" xfId="0" applyNumberFormat="1" applyFont="1" applyBorder="1" applyAlignment="1" applyProtection="1">
      <alignment horizontal="center" vertical="center"/>
    </xf>
    <xf numFmtId="0" fontId="0" fillId="2" borderId="9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/>
    </xf>
    <xf numFmtId="1" fontId="62" fillId="2" borderId="2" xfId="0" applyNumberFormat="1" applyFont="1" applyFill="1" applyBorder="1" applyAlignment="1">
      <alignment horizontal="center" wrapText="1"/>
    </xf>
    <xf numFmtId="1" fontId="62" fillId="2" borderId="23" xfId="0" applyNumberFormat="1" applyFont="1" applyFill="1" applyBorder="1" applyAlignment="1">
      <alignment horizontal="center" wrapText="1"/>
    </xf>
    <xf numFmtId="0" fontId="41" fillId="2" borderId="24" xfId="0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/>
    </xf>
    <xf numFmtId="1" fontId="29" fillId="2" borderId="9" xfId="0" applyNumberFormat="1" applyFont="1" applyFill="1" applyBorder="1" applyAlignment="1">
      <alignment horizontal="right" vertical="center"/>
    </xf>
    <xf numFmtId="1" fontId="29" fillId="2" borderId="10" xfId="0" applyNumberFormat="1" applyFont="1" applyFill="1" applyBorder="1" applyAlignment="1">
      <alignment horizontal="right" vertical="center"/>
    </xf>
    <xf numFmtId="1" fontId="9" fillId="2" borderId="7" xfId="0" applyNumberFormat="1" applyFont="1" applyFill="1" applyBorder="1" applyAlignment="1">
      <alignment horizontal="center" vertical="center" wrapText="1"/>
    </xf>
    <xf numFmtId="1" fontId="9" fillId="2" borderId="8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left" vertical="center"/>
    </xf>
    <xf numFmtId="1" fontId="9" fillId="2" borderId="7" xfId="0" applyNumberFormat="1" applyFont="1" applyFill="1" applyBorder="1" applyAlignment="1">
      <alignment horizontal="left" vertical="center"/>
    </xf>
    <xf numFmtId="1" fontId="59" fillId="2" borderId="9" xfId="0" applyNumberFormat="1" applyFont="1" applyFill="1" applyBorder="1" applyAlignment="1">
      <alignment horizontal="right" vertical="center"/>
    </xf>
    <xf numFmtId="1" fontId="59" fillId="2" borderId="10" xfId="0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99">
    <dxf>
      <font>
        <color theme="0"/>
      </font>
    </dxf>
    <dxf>
      <font>
        <color theme="0"/>
      </font>
    </dxf>
    <dxf>
      <font>
        <color theme="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%'!$A$5</c:f>
          <c:strCache>
            <c:ptCount val="1"/>
            <c:pt idx="0">
              <c:v>Perte salissure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%'!$B$5:$P$5</c:f>
              <c:numCache>
                <c:formatCode>0.0%</c:formatCode>
                <c:ptCount val="15"/>
                <c:pt idx="0">
                  <c:v>8.2066513585501252E-2</c:v>
                </c:pt>
                <c:pt idx="1">
                  <c:v>7.1997045409124799E-2</c:v>
                </c:pt>
                <c:pt idx="2">
                  <c:v>4.0878522946332305E-2</c:v>
                </c:pt>
                <c:pt idx="3">
                  <c:v>4.1274884496331612E-2</c:v>
                </c:pt>
                <c:pt idx="4">
                  <c:v>0.10814025260464089</c:v>
                </c:pt>
                <c:pt idx="5">
                  <c:v>9.150835972314636E-2</c:v>
                </c:pt>
                <c:pt idx="6">
                  <c:v>0.13972581590977767</c:v>
                </c:pt>
                <c:pt idx="7">
                  <c:v>3.0156458155402827E-2</c:v>
                </c:pt>
                <c:pt idx="8">
                  <c:v>3.4950554449981144E-2</c:v>
                </c:pt>
                <c:pt idx="9">
                  <c:v>4.3468339145651673E-2</c:v>
                </c:pt>
                <c:pt idx="10">
                  <c:v>2.5499195570433755E-2</c:v>
                </c:pt>
                <c:pt idx="11">
                  <c:v>1.9095836738424476E-2</c:v>
                </c:pt>
                <c:pt idx="12">
                  <c:v>4.1707658943991616E-2</c:v>
                </c:pt>
                <c:pt idx="13">
                  <c:v>2.0742102046489776E-2</c:v>
                </c:pt>
                <c:pt idx="14">
                  <c:v>1.4934919672471136E-2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794976"/>
        <c:axId val="97795368"/>
      </c:barChart>
      <c:catAx>
        <c:axId val="9779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795368"/>
        <c:crosses val="autoZero"/>
        <c:auto val="1"/>
        <c:lblAlgn val="ctr"/>
        <c:lblOffset val="100"/>
        <c:noMultiLvlLbl val="0"/>
      </c:catAx>
      <c:valAx>
        <c:axId val="97795368"/>
        <c:scaling>
          <c:orientation val="minMax"/>
          <c:max val="0.1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794976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%'!$A$6</c:f>
          <c:strCache>
            <c:ptCount val="1"/>
            <c:pt idx="0">
              <c:v>Gain instantanné nettoyage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4558180227471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%'!$B$6:$P$6</c:f>
              <c:numCache>
                <c:formatCode>0.0%</c:formatCode>
                <c:ptCount val="15"/>
                <c:pt idx="0">
                  <c:v>9.2374320811537389E-2</c:v>
                </c:pt>
                <c:pt idx="1">
                  <c:v>7.6966161784992645E-2</c:v>
                </c:pt>
                <c:pt idx="2">
                  <c:v>4.1728153322544911E-2</c:v>
                </c:pt>
                <c:pt idx="3">
                  <c:v>5.1744622120926613E-2</c:v>
                </c:pt>
                <c:pt idx="4">
                  <c:v>9.5363472841258151E-2</c:v>
                </c:pt>
                <c:pt idx="5">
                  <c:v>9.5265982743073477E-2</c:v>
                </c:pt>
                <c:pt idx="6">
                  <c:v>0.10287433262255685</c:v>
                </c:pt>
                <c:pt idx="7">
                  <c:v>7.8261019105572857E-2</c:v>
                </c:pt>
                <c:pt idx="8">
                  <c:v>7.7380301204591356E-2</c:v>
                </c:pt>
                <c:pt idx="9">
                  <c:v>0.1076176218294741</c:v>
                </c:pt>
                <c:pt idx="10">
                  <c:v>3.6006653894440396E-2</c:v>
                </c:pt>
                <c:pt idx="11">
                  <c:v>4.5103415520396845E-2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201544"/>
        <c:axId val="176201936"/>
      </c:barChart>
      <c:catAx>
        <c:axId val="176201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201936"/>
        <c:crosses val="autoZero"/>
        <c:auto val="1"/>
        <c:lblAlgn val="ctr"/>
        <c:lblOffset val="100"/>
        <c:noMultiLvlLbl val="0"/>
      </c:catAx>
      <c:valAx>
        <c:axId val="176201936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201544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%'!$A$4</c:f>
          <c:strCache>
            <c:ptCount val="1"/>
            <c:pt idx="0">
              <c:v>Masquage végé.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%'!$B$4:$P$4</c:f>
              <c:numCache>
                <c:formatCode>0.0%</c:formatCode>
                <c:ptCount val="15"/>
                <c:pt idx="0">
                  <c:v>4.3637206482691517E-3</c:v>
                </c:pt>
                <c:pt idx="1">
                  <c:v>1.7028019052896266E-3</c:v>
                </c:pt>
                <c:pt idx="2">
                  <c:v>2.6741741248463818E-4</c:v>
                </c:pt>
                <c:pt idx="3">
                  <c:v>8.4619993581648337E-5</c:v>
                </c:pt>
                <c:pt idx="4">
                  <c:v>1.7508403757723176E-3</c:v>
                </c:pt>
                <c:pt idx="5">
                  <c:v>4.8886297070358637E-4</c:v>
                </c:pt>
                <c:pt idx="6">
                  <c:v>9.6013416817634055E-3</c:v>
                </c:pt>
                <c:pt idx="7">
                  <c:v>3.1600389036704536E-3</c:v>
                </c:pt>
                <c:pt idx="8">
                  <c:v>5.7934176781997777E-4</c:v>
                </c:pt>
                <c:pt idx="9">
                  <c:v>2.9469959024322126E-5</c:v>
                </c:pt>
                <c:pt idx="10">
                  <c:v>1.4061788759785723E-5</c:v>
                </c:pt>
                <c:pt idx="11">
                  <c:v>1.2343979656983357E-4</c:v>
                </c:pt>
                <c:pt idx="12">
                  <c:v>9.7389982502581092E-6</c:v>
                </c:pt>
                <c:pt idx="13">
                  <c:v>4.0972298304039836E-5</c:v>
                </c:pt>
                <c:pt idx="14">
                  <c:v>1.224006221423847E-4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202720"/>
        <c:axId val="176203112"/>
      </c:barChart>
      <c:catAx>
        <c:axId val="17620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203112"/>
        <c:crosses val="autoZero"/>
        <c:auto val="1"/>
        <c:lblAlgn val="ctr"/>
        <c:lblOffset val="100"/>
        <c:noMultiLvlLbl val="0"/>
      </c:catAx>
      <c:valAx>
        <c:axId val="176203112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202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%'!$A$24</c:f>
          <c:strCache>
            <c:ptCount val="1"/>
            <c:pt idx="0">
              <c:v>Résidu nettoyage / Gain+résidu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%'!$B$22:$P$22</c:f>
              <c:strCache>
                <c:ptCount val="15"/>
                <c:pt idx="0">
                  <c:v>Aureville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Escalquens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%'!$B$24:$P$24</c:f>
              <c:numCache>
                <c:formatCode>0.0%</c:formatCode>
                <c:ptCount val="15"/>
                <c:pt idx="0">
                  <c:v>0.15542953660295325</c:v>
                </c:pt>
                <c:pt idx="1">
                  <c:v>9.4155129900348397E-2</c:v>
                </c:pt>
                <c:pt idx="2">
                  <c:v>0.11645596139314875</c:v>
                </c:pt>
                <c:pt idx="3">
                  <c:v>8.8114076948907397E-2</c:v>
                </c:pt>
                <c:pt idx="4">
                  <c:v>0.15878130361448292</c:v>
                </c:pt>
                <c:pt idx="5">
                  <c:v>0.15891796957988913</c:v>
                </c:pt>
                <c:pt idx="6">
                  <c:v>0.19550444164421812</c:v>
                </c:pt>
                <c:pt idx="7">
                  <c:v>9.2741774708330157E-2</c:v>
                </c:pt>
                <c:pt idx="8">
                  <c:v>9.3698427941008439E-2</c:v>
                </c:pt>
                <c:pt idx="9">
                  <c:v>7.7175300428955651E-2</c:v>
                </c:pt>
                <c:pt idx="10">
                  <c:v>0.16276551105746248</c:v>
                </c:pt>
                <c:pt idx="11">
                  <c:v>8.1460728497357943E-2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203896"/>
        <c:axId val="176204288"/>
      </c:barChart>
      <c:catAx>
        <c:axId val="17620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204288"/>
        <c:crosses val="autoZero"/>
        <c:auto val="1"/>
        <c:lblAlgn val="ctr"/>
        <c:lblOffset val="100"/>
        <c:noMultiLvlLbl val="0"/>
      </c:catAx>
      <c:valAx>
        <c:axId val="176204288"/>
        <c:scaling>
          <c:orientation val="minMax"/>
          <c:max val="0.180000000000000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203896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kWh'!$A$5</c:f>
          <c:strCache>
            <c:ptCount val="1"/>
            <c:pt idx="0">
              <c:v>Perte salissure 2022 (kWh/kWc)</c:v>
            </c:pt>
          </c:strCache>
        </c:strRef>
      </c:tx>
      <c:layout>
        <c:manualLayout>
          <c:xMode val="edge"/>
          <c:yMode val="edge"/>
          <c:x val="0.2250905092592592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91712962962963E-2"/>
          <c:y val="8.8379629629629614E-2"/>
          <c:w val="0.92061574074074071"/>
          <c:h val="0.597608267716535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kWh'!$B$5:$P$5</c:f>
              <c:numCache>
                <c:formatCode>0</c:formatCode>
                <c:ptCount val="15"/>
                <c:pt idx="0">
                  <c:v>100.25001520718608</c:v>
                </c:pt>
                <c:pt idx="1">
                  <c:v>88.41186609272151</c:v>
                </c:pt>
                <c:pt idx="2">
                  <c:v>51.616634051048003</c:v>
                </c:pt>
                <c:pt idx="3">
                  <c:v>52.428256371288406</c:v>
                </c:pt>
                <c:pt idx="4">
                  <c:v>116.25189253343741</c:v>
                </c:pt>
                <c:pt idx="5">
                  <c:v>109.26184838173023</c:v>
                </c:pt>
                <c:pt idx="6">
                  <c:v>156.6043803674433</c:v>
                </c:pt>
                <c:pt idx="7">
                  <c:v>39.384501249675907</c:v>
                </c:pt>
                <c:pt idx="8">
                  <c:v>45.925381660765396</c:v>
                </c:pt>
                <c:pt idx="9">
                  <c:v>57.354512913414538</c:v>
                </c:pt>
                <c:pt idx="10">
                  <c:v>34.637585391285491</c:v>
                </c:pt>
                <c:pt idx="11">
                  <c:v>25.368463032436274</c:v>
                </c:pt>
                <c:pt idx="12">
                  <c:v>57.756064792336801</c:v>
                </c:pt>
                <c:pt idx="13">
                  <c:v>27.308762743275217</c:v>
                </c:pt>
                <c:pt idx="14">
                  <c:v>19.037252152479518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192952"/>
        <c:axId val="175193344"/>
      </c:barChart>
      <c:catAx>
        <c:axId val="17519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193344"/>
        <c:crosses val="autoZero"/>
        <c:auto val="1"/>
        <c:lblAlgn val="ctr"/>
        <c:lblOffset val="100"/>
        <c:noMultiLvlLbl val="0"/>
      </c:catAx>
      <c:valAx>
        <c:axId val="175193344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192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kWh'!$A$6</c:f>
          <c:strCache>
            <c:ptCount val="1"/>
            <c:pt idx="0">
              <c:v>Gain instantanné nettoyage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4558180227471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kWh'!$B$6:$P$6</c:f>
              <c:numCache>
                <c:formatCode>0.0%</c:formatCode>
                <c:ptCount val="15"/>
                <c:pt idx="0">
                  <c:v>9.2374320811537389E-2</c:v>
                </c:pt>
                <c:pt idx="1">
                  <c:v>7.6966161784992645E-2</c:v>
                </c:pt>
                <c:pt idx="2">
                  <c:v>4.1728153322544911E-2</c:v>
                </c:pt>
                <c:pt idx="3">
                  <c:v>5.1744622120926613E-2</c:v>
                </c:pt>
                <c:pt idx="4">
                  <c:v>9.5363472841258151E-2</c:v>
                </c:pt>
                <c:pt idx="5">
                  <c:v>9.5265982743073477E-2</c:v>
                </c:pt>
                <c:pt idx="6">
                  <c:v>0.10287433262255685</c:v>
                </c:pt>
                <c:pt idx="7">
                  <c:v>7.8261019105572857E-2</c:v>
                </c:pt>
                <c:pt idx="8">
                  <c:v>7.7380301204591356E-2</c:v>
                </c:pt>
                <c:pt idx="9">
                  <c:v>0.1076176218294741</c:v>
                </c:pt>
                <c:pt idx="10">
                  <c:v>3.6006653894440396E-2</c:v>
                </c:pt>
                <c:pt idx="11">
                  <c:v>4.5103415520396845E-2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192560"/>
        <c:axId val="175192168"/>
      </c:barChart>
      <c:catAx>
        <c:axId val="17519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192168"/>
        <c:crosses val="autoZero"/>
        <c:auto val="1"/>
        <c:lblAlgn val="ctr"/>
        <c:lblOffset val="100"/>
        <c:noMultiLvlLbl val="0"/>
      </c:catAx>
      <c:valAx>
        <c:axId val="175192168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192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kWh'!$A$4</c:f>
          <c:strCache>
            <c:ptCount val="1"/>
            <c:pt idx="0">
              <c:v>Masquage végé. 2022 (kWh/kWc)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kWh'!$B$4:$P$4</c:f>
              <c:numCache>
                <c:formatCode>0.0</c:formatCode>
                <c:ptCount val="15"/>
                <c:pt idx="0">
                  <c:v>5.7827167950883522</c:v>
                </c:pt>
                <c:pt idx="1">
                  <c:v>2.2465550022563452</c:v>
                </c:pt>
                <c:pt idx="2">
                  <c:v>0.35190370507826274</c:v>
                </c:pt>
                <c:pt idx="3">
                  <c:v>0.11206873655003406</c:v>
                </c:pt>
                <c:pt idx="4">
                  <c:v>2.095978606870494</c:v>
                </c:pt>
                <c:pt idx="5">
                  <c:v>0.63890149177929156</c:v>
                </c:pt>
                <c:pt idx="6">
                  <c:v>12.314898542949765</c:v>
                </c:pt>
                <c:pt idx="7">
                  <c:v>4.2544654077068156</c:v>
                </c:pt>
                <c:pt idx="8">
                  <c:v>0.78850719383101486</c:v>
                </c:pt>
                <c:pt idx="9">
                  <c:v>4.061539667069345E-2</c:v>
                </c:pt>
                <c:pt idx="10">
                  <c:v>1.959544651942732E-2</c:v>
                </c:pt>
                <c:pt idx="11">
                  <c:v>0.16716899574118332</c:v>
                </c:pt>
                <c:pt idx="12">
                  <c:v>1.4052753730939343E-2</c:v>
                </c:pt>
                <c:pt idx="13">
                  <c:v>5.5067968554324352E-2</c:v>
                </c:pt>
                <c:pt idx="14">
                  <c:v>0.15835843313044612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191384"/>
        <c:axId val="175190992"/>
      </c:barChart>
      <c:catAx>
        <c:axId val="175191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190992"/>
        <c:crosses val="autoZero"/>
        <c:auto val="1"/>
        <c:lblAlgn val="ctr"/>
        <c:lblOffset val="100"/>
        <c:noMultiLvlLbl val="0"/>
      </c:catAx>
      <c:valAx>
        <c:axId val="175190992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191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19050</xdr:rowOff>
    </xdr:from>
    <xdr:to>
      <xdr:col>12</xdr:col>
      <xdr:colOff>490950</xdr:colOff>
      <xdr:row>20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19050</xdr:colOff>
      <xdr:row>6</xdr:row>
      <xdr:rowOff>19050</xdr:rowOff>
    </xdr:from>
    <xdr:to>
      <xdr:col>20</xdr:col>
      <xdr:colOff>14700</xdr:colOff>
      <xdr:row>20</xdr:row>
      <xdr:rowOff>95250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</xdr:row>
      <xdr:rowOff>9525</xdr:rowOff>
    </xdr:from>
    <xdr:to>
      <xdr:col>4</xdr:col>
      <xdr:colOff>595725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24</xdr:row>
      <xdr:rowOff>28575</xdr:rowOff>
    </xdr:from>
    <xdr:to>
      <xdr:col>12</xdr:col>
      <xdr:colOff>500475</xdr:colOff>
      <xdr:row>38</xdr:row>
      <xdr:rowOff>104775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19050</xdr:rowOff>
    </xdr:from>
    <xdr:to>
      <xdr:col>12</xdr:col>
      <xdr:colOff>500475</xdr:colOff>
      <xdr:row>20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6</xdr:row>
      <xdr:rowOff>0</xdr:rowOff>
    </xdr:from>
    <xdr:to>
      <xdr:col>22</xdr:col>
      <xdr:colOff>510000</xdr:colOff>
      <xdr:row>20</xdr:row>
      <xdr:rowOff>76200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</xdr:row>
      <xdr:rowOff>9525</xdr:rowOff>
    </xdr:from>
    <xdr:to>
      <xdr:col>4</xdr:col>
      <xdr:colOff>595725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Donneville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.%20Berjean%20v4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Odars%20Ecole%20v4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Gymn%20v4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Montbrun%20Ecole%20v4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pan&#232;s%20Hangar%20v4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Montgiscard%20SDIS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ureville%20v41%20fig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MJC%20v4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Lab&#232;ge%20garderie%20v4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Lab&#232;ge%20maternelle%20v4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uens%20cr&#234;che%20v4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cr&#234;che%20v4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Noueilles%20SdF%20v4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uens%20MdS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Donnevill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43209</v>
          </cell>
        </row>
        <row r="5">
          <cell r="C5">
            <v>43249</v>
          </cell>
        </row>
        <row r="11">
          <cell r="C11">
            <v>104.45963514175737</v>
          </cell>
          <cell r="D11">
            <v>5.6326408194618862</v>
          </cell>
        </row>
        <row r="12">
          <cell r="C12">
            <v>507.07282394770164</v>
          </cell>
          <cell r="D12">
            <v>12.090446238296549</v>
          </cell>
        </row>
        <row r="13">
          <cell r="C13">
            <v>741.96867869641869</v>
          </cell>
          <cell r="D13">
            <v>21.143298543434643</v>
          </cell>
        </row>
        <row r="14">
          <cell r="C14">
            <v>398.89595030755072</v>
          </cell>
          <cell r="D14">
            <v>25.362680897145037</v>
          </cell>
          <cell r="H14">
            <v>462.97974451982009</v>
          </cell>
          <cell r="I14">
            <v>-1.6599989140942988</v>
          </cell>
          <cell r="K14">
            <v>44306</v>
          </cell>
        </row>
        <row r="15">
          <cell r="C15">
            <v>601.50009124311646</v>
          </cell>
          <cell r="D15">
            <v>34.696300770530115</v>
          </cell>
          <cell r="H15">
            <v>403.54404421488664</v>
          </cell>
          <cell r="I15">
            <v>-1.9937197098665465</v>
          </cell>
          <cell r="K15" t="str">
            <v/>
          </cell>
        </row>
        <row r="16">
          <cell r="C16">
            <v>385.19101417997501</v>
          </cell>
          <cell r="D16">
            <v>42.390344717203995</v>
          </cell>
          <cell r="H16">
            <v>507.11078156996098</v>
          </cell>
          <cell r="I16">
            <v>-2.9719515460187154</v>
          </cell>
        </row>
        <row r="17">
          <cell r="C17">
            <v>571.08263381964969</v>
          </cell>
          <cell r="D17">
            <v>50.397576753518784</v>
          </cell>
          <cell r="H17">
            <v>370.7723840124138</v>
          </cell>
          <cell r="I17">
            <v>-2.678525521337022</v>
          </cell>
        </row>
        <row r="18">
          <cell r="C18">
            <v>374.16679456507927</v>
          </cell>
          <cell r="D18">
            <v>31.364395858997668</v>
          </cell>
          <cell r="H18">
            <v>478.58535324315153</v>
          </cell>
          <cell r="I18">
            <v>27.621459277795864</v>
          </cell>
          <cell r="M18">
            <v>871.45507058596331</v>
          </cell>
        </row>
        <row r="19">
          <cell r="C19">
            <v>565.7175274781996</v>
          </cell>
          <cell r="D19">
            <v>14.242289101114245</v>
          </cell>
          <cell r="H19">
            <v>347.91939891767822</v>
          </cell>
          <cell r="I19">
            <v>55.337574856388592</v>
          </cell>
        </row>
        <row r="20">
          <cell r="C20">
            <v>369.64977008134849</v>
          </cell>
          <cell r="D20">
            <v>24.992922501488536</v>
          </cell>
          <cell r="H20">
            <v>464.24556491959504</v>
          </cell>
          <cell r="I20">
            <v>56.790025174501622</v>
          </cell>
        </row>
        <row r="32">
          <cell r="M32">
            <v>2</v>
          </cell>
          <cell r="N32">
            <v>395.58236011328904</v>
          </cell>
          <cell r="O32">
            <v>5.8231797844986402E-2</v>
          </cell>
        </row>
        <row r="35">
          <cell r="E35">
            <v>2.7445102515151168E-3</v>
          </cell>
          <cell r="F35">
            <v>2.3139818916091848E-2</v>
          </cell>
          <cell r="G35">
            <v>1.2194431717577506E-3</v>
          </cell>
        </row>
        <row r="36">
          <cell r="E36">
            <v>9.4350942996907078E-3</v>
          </cell>
          <cell r="F36">
            <v>6.7281657117784069E-2</v>
          </cell>
          <cell r="G36">
            <v>1.5022125683998605E-3</v>
          </cell>
        </row>
        <row r="37">
          <cell r="E37">
            <v>1.7561014078621512E-2</v>
          </cell>
          <cell r="F37">
            <v>0.10342521867152105</v>
          </cell>
          <cell r="G37">
            <v>2.6665912239027963E-3</v>
          </cell>
        </row>
        <row r="38">
          <cell r="E38">
            <v>2.5834302827776726E-2</v>
          </cell>
          <cell r="F38">
            <v>5.5010862046536435E-2</v>
          </cell>
          <cell r="G38">
            <v>3.3108722293765328E-3</v>
          </cell>
          <cell r="L38">
            <v>9.2374320811537389E-2</v>
          </cell>
        </row>
        <row r="39">
          <cell r="C39">
            <v>9.3172112867404011E-2</v>
          </cell>
          <cell r="E39">
            <v>3.3516462519325232E-2</v>
          </cell>
          <cell r="F39">
            <v>8.2066513585501252E-2</v>
          </cell>
          <cell r="G39">
            <v>4.3637206482691517E-3</v>
          </cell>
        </row>
        <row r="40">
          <cell r="E40">
            <v>4.239017293725799E-2</v>
          </cell>
          <cell r="F40">
            <v>5.110260603041597E-2</v>
          </cell>
          <cell r="G40">
            <v>5.339426430162224E-3</v>
          </cell>
        </row>
        <row r="41">
          <cell r="E41">
            <v>5.0707242372174777E-2</v>
          </cell>
          <cell r="F41">
            <v>7.7895607355047067E-2</v>
          </cell>
          <cell r="G41">
            <v>6.354164217501952E-3</v>
          </cell>
        </row>
        <row r="42">
          <cell r="E42">
            <v>5.9231786103018255E-2</v>
          </cell>
          <cell r="F42">
            <v>4.9471941399917375E-2</v>
          </cell>
          <cell r="G42">
            <v>3.9404776406620958E-3</v>
          </cell>
        </row>
        <row r="43">
          <cell r="E43">
            <v>6.7663317749511967E-2</v>
          </cell>
          <cell r="F43">
            <v>7.6636164370971746E-2</v>
          </cell>
          <cell r="G43">
            <v>1.7834390256006845E-3</v>
          </cell>
        </row>
        <row r="44">
          <cell r="E44">
            <v>7.6283926601934254E-2</v>
          </cell>
          <cell r="F44">
            <v>4.8833591104046184E-2</v>
          </cell>
          <cell r="G44">
            <v>3.136887142996936E-3</v>
          </cell>
        </row>
        <row r="65">
          <cell r="K65">
            <v>3.7291589856623895</v>
          </cell>
          <cell r="L65">
            <v>2.315724518475883</v>
          </cell>
          <cell r="M65">
            <v>1.7336989716275146</v>
          </cell>
        </row>
        <row r="66">
          <cell r="B66">
            <v>2.2760567860776364</v>
          </cell>
          <cell r="C66">
            <v>3.4593848955928208</v>
          </cell>
          <cell r="D66">
            <v>4.8217993121341438</v>
          </cell>
          <cell r="E66">
            <v>5.8125940260862698</v>
          </cell>
          <cell r="F66">
            <v>6.7838233147262308</v>
          </cell>
          <cell r="G66">
            <v>6.727950089237364</v>
          </cell>
          <cell r="H66">
            <v>6.4372107058048043</v>
          </cell>
          <cell r="I66">
            <v>5.9413827222180222</v>
          </cell>
          <cell r="J66">
            <v>5.15945358246928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1.7000000000000001E-2</v>
          </cell>
        </row>
      </sheetData>
      <sheetData sheetId="4">
        <row r="10">
          <cell r="U10">
            <v>0.5</v>
          </cell>
        </row>
        <row r="11">
          <cell r="D11">
            <v>12.355579314052193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5">
        <row r="10">
          <cell r="U10">
            <v>0.39887541583559449</v>
          </cell>
        </row>
        <row r="11">
          <cell r="D11">
            <v>70.443593428278291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6">
        <row r="10">
          <cell r="U10">
            <v>0.30000006185595751</v>
          </cell>
        </row>
        <row r="11">
          <cell r="D11">
            <v>123.80787121146386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7">
        <row r="10">
          <cell r="U10">
            <v>0.30000006185595751</v>
          </cell>
        </row>
        <row r="11">
          <cell r="D11">
            <v>182.61258547714806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8">
        <row r="10">
          <cell r="U10">
            <v>0.30000006185595751</v>
          </cell>
        </row>
        <row r="11">
          <cell r="D11">
            <v>237.68976977509919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9">
        <row r="10">
          <cell r="U10">
            <v>0.30000006185595751</v>
          </cell>
        </row>
        <row r="11">
          <cell r="D11">
            <v>306.52646669452861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133">
          <cell r="O133">
            <v>0.10274501027396959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353.81338044930726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422.93157902084477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2">
        <row r="10">
          <cell r="U10">
            <v>0.5</v>
          </cell>
        </row>
        <row r="11">
          <cell r="D11">
            <v>467.82652446767406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3">
        <row r="10">
          <cell r="U10">
            <v>0.5</v>
          </cell>
        </row>
        <row r="11">
          <cell r="D11">
            <v>536.5101753131139</v>
          </cell>
          <cell r="O11">
            <v>0.14666666666666667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Escalq. Berjean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43496</v>
          </cell>
        </row>
        <row r="5">
          <cell r="C5">
            <v>43535</v>
          </cell>
        </row>
        <row r="11">
          <cell r="C11">
            <v>180.06133510994408</v>
          </cell>
          <cell r="D11">
            <v>3.4087965084989458E-2</v>
          </cell>
        </row>
        <row r="12">
          <cell r="C12">
            <v>512.71335922203446</v>
          </cell>
          <cell r="D12">
            <v>9.5251793757527042E-2</v>
          </cell>
        </row>
        <row r="13">
          <cell r="C13">
            <v>947.64458872461057</v>
          </cell>
          <cell r="D13">
            <v>0.23705846887630638</v>
          </cell>
          <cell r="K13" t="str">
            <v/>
          </cell>
        </row>
        <row r="14">
          <cell r="C14">
            <v>516.19061622073082</v>
          </cell>
          <cell r="D14">
            <v>0.36553857003624107</v>
          </cell>
          <cell r="H14">
            <v>894.20117184713649</v>
          </cell>
          <cell r="I14">
            <v>-2.816996816921663E-2</v>
          </cell>
          <cell r="K14">
            <v>44683</v>
          </cell>
        </row>
        <row r="15">
          <cell r="C15">
            <v>285.60070537470108</v>
          </cell>
          <cell r="D15">
            <v>0.53980953658037667</v>
          </cell>
          <cell r="H15">
            <v>464.73861894688241</v>
          </cell>
          <cell r="I15">
            <v>-2.1386485503012809E-2</v>
          </cell>
        </row>
        <row r="16">
          <cell r="C16">
            <v>615.75967399965816</v>
          </cell>
          <cell r="D16">
            <v>0.72999304494418937</v>
          </cell>
          <cell r="H16">
            <v>195.30030859490523</v>
          </cell>
          <cell r="I16">
            <v>-1.2568360133798029E-2</v>
          </cell>
        </row>
        <row r="17">
          <cell r="C17">
            <v>392.33632932715011</v>
          </cell>
          <cell r="D17">
            <v>0.95710778207937153</v>
          </cell>
          <cell r="H17">
            <v>531.90960401173379</v>
          </cell>
          <cell r="I17">
            <v>-4.4377909788347991E-2</v>
          </cell>
          <cell r="M17">
            <v>443.64849702161115</v>
          </cell>
        </row>
        <row r="18">
          <cell r="C18">
            <v>606.11315761875767</v>
          </cell>
          <cell r="D18">
            <v>0.44328647731952942</v>
          </cell>
          <cell r="H18">
            <v>455.90800180145675</v>
          </cell>
          <cell r="I18">
            <v>0.71725379668444333</v>
          </cell>
        </row>
        <row r="19">
          <cell r="C19">
            <v>386.77209160160123</v>
          </cell>
          <cell r="D19">
            <v>0.11583345348484021</v>
          </cell>
          <cell r="H19">
            <v>574.00614711844673</v>
          </cell>
          <cell r="I19">
            <v>1.3558502523358762</v>
          </cell>
        </row>
        <row r="20">
          <cell r="H20">
            <v>449.64251679762162</v>
          </cell>
        </row>
        <row r="32">
          <cell r="M32">
            <v>2</v>
          </cell>
          <cell r="N32">
            <v>519.82096853450264</v>
          </cell>
          <cell r="O32">
            <v>4.58194270109758E-2</v>
          </cell>
        </row>
        <row r="35">
          <cell r="E35">
            <v>3.1495627912824331E-3</v>
          </cell>
          <cell r="F35">
            <v>1.7322603295289271E-2</v>
          </cell>
          <cell r="G35">
            <v>3.2233820691782102E-6</v>
          </cell>
        </row>
        <row r="36">
          <cell r="E36">
            <v>9.8014696424478989E-3</v>
          </cell>
          <cell r="F36">
            <v>4.4142983731602067E-2</v>
          </cell>
          <cell r="G36">
            <v>7.8509157431903034E-6</v>
          </cell>
        </row>
        <row r="37">
          <cell r="E37">
            <v>1.6935773159675226E-2</v>
          </cell>
          <cell r="F37">
            <v>8.6648927570793649E-2</v>
          </cell>
          <cell r="G37">
            <v>1.9920389519697197E-5</v>
          </cell>
        </row>
        <row r="38">
          <cell r="C38">
            <v>2.7127379112340089E-2</v>
          </cell>
          <cell r="E38">
            <v>2.4185866259582075E-2</v>
          </cell>
          <cell r="F38">
            <v>4.3468339145651673E-2</v>
          </cell>
          <cell r="G38">
            <v>2.9469959024322126E-5</v>
          </cell>
          <cell r="L38">
            <v>0.1076176218294741</v>
          </cell>
        </row>
        <row r="39">
          <cell r="E39">
            <v>3.1322273413012067E-2</v>
          </cell>
          <cell r="F39">
            <v>2.3585959544210704E-2</v>
          </cell>
          <cell r="G39">
            <v>4.3520830104187486E-5</v>
          </cell>
        </row>
        <row r="40">
          <cell r="E40">
            <v>3.8554771364132483E-2</v>
          </cell>
          <cell r="F40">
            <v>5.2260997895287709E-2</v>
          </cell>
          <cell r="G40">
            <v>5.876664456906731E-5</v>
          </cell>
        </row>
        <row r="41">
          <cell r="E41">
            <v>4.5893872674796957E-2</v>
          </cell>
          <cell r="F41">
            <v>3.2715516776365028E-2</v>
          </cell>
          <cell r="G41">
            <v>7.7169280826168898E-5</v>
          </cell>
        </row>
        <row r="42">
          <cell r="E42">
            <v>5.3201555592726969E-2</v>
          </cell>
          <cell r="F42">
            <v>5.1516786664731362E-2</v>
          </cell>
          <cell r="G42">
            <v>3.5738211413232714E-5</v>
          </cell>
        </row>
        <row r="43">
          <cell r="E43">
            <v>6.0629310540063722E-2</v>
          </cell>
          <cell r="F43">
            <v>3.2247167129502957E-2</v>
          </cell>
          <cell r="G43">
            <v>9.3382382217046656E-6</v>
          </cell>
        </row>
        <row r="64">
          <cell r="K64">
            <v>4.5369654163612063</v>
          </cell>
          <cell r="L64">
            <v>3.495067341341811</v>
          </cell>
          <cell r="M64">
            <v>2.9581037863221691</v>
          </cell>
        </row>
        <row r="65">
          <cell r="B65">
            <v>3.3821082234297886</v>
          </cell>
          <cell r="C65">
            <v>4.4411326818160948</v>
          </cell>
          <cell r="D65">
            <v>5.5248273615253005</v>
          </cell>
          <cell r="E65">
            <v>6.3156784732175923</v>
          </cell>
          <cell r="F65">
            <v>6.7140956215336569</v>
          </cell>
          <cell r="G65">
            <v>6.6288804612357071</v>
          </cell>
          <cell r="H65">
            <v>6.3473174705565079</v>
          </cell>
          <cell r="I65">
            <v>5.9411551048186189</v>
          </cell>
          <cell r="J65">
            <v>5.3833358970113165</v>
          </cell>
        </row>
      </sheetData>
      <sheetData sheetId="1"/>
      <sheetData sheetId="2"/>
      <sheetData sheetId="3">
        <row r="1">
          <cell r="Q1">
            <v>7.0000000000000001E-3</v>
          </cell>
        </row>
        <row r="5">
          <cell r="U5">
            <v>8.9999999999999993E-3</v>
          </cell>
        </row>
      </sheetData>
      <sheetData sheetId="4">
        <row r="10">
          <cell r="U10">
            <v>0.5</v>
          </cell>
        </row>
        <row r="11">
          <cell r="D11">
            <v>32.63562161381742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5">
        <row r="10">
          <cell r="U10">
            <v>0.5</v>
          </cell>
        </row>
        <row r="11">
          <cell r="D11">
            <v>112.73743496705174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6">
        <row r="10">
          <cell r="U10">
            <v>0.5</v>
          </cell>
        </row>
        <row r="11">
          <cell r="D11">
            <v>182.13516275789334</v>
          </cell>
          <cell r="O11">
            <v>0.15</v>
          </cell>
        </row>
        <row r="12">
          <cell r="L12">
            <v>0</v>
          </cell>
          <cell r="O12">
            <v>438</v>
          </cell>
        </row>
        <row r="379">
          <cell r="Q379">
            <v>0.6</v>
          </cell>
        </row>
      </sheetData>
      <sheetData sheetId="7">
        <row r="10">
          <cell r="U10">
            <v>0.5</v>
          </cell>
        </row>
        <row r="11">
          <cell r="D11">
            <v>280.42706538638959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8">
        <row r="10">
          <cell r="U10">
            <v>0.5</v>
          </cell>
        </row>
        <row r="11">
          <cell r="D11">
            <v>367.76009706416153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133">
          <cell r="O133">
            <v>3.4982250757871251E-2</v>
          </cell>
        </row>
        <row r="379">
          <cell r="Q379">
            <v>0.6</v>
          </cell>
        </row>
      </sheetData>
      <sheetData sheetId="9">
        <row r="10">
          <cell r="U10">
            <v>0.5</v>
          </cell>
        </row>
        <row r="11">
          <cell r="D11">
            <v>437.40351854091932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379">
          <cell r="Q379">
            <v>0.6</v>
          </cell>
        </row>
      </sheetData>
      <sheetData sheetId="10">
        <row r="10">
          <cell r="U10">
            <v>0.5</v>
          </cell>
        </row>
        <row r="11">
          <cell r="D11">
            <v>526.22542485626036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379">
          <cell r="Q379">
            <v>0.6</v>
          </cell>
        </row>
      </sheetData>
      <sheetData sheetId="11">
        <row r="10">
          <cell r="U10">
            <v>0.5</v>
          </cell>
        </row>
        <row r="11">
          <cell r="D11">
            <v>594.31649593254951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379">
          <cell r="Q379">
            <v>0.6</v>
          </cell>
        </row>
      </sheetData>
      <sheetData sheetId="12">
        <row r="10">
          <cell r="U10">
            <v>0.5</v>
          </cell>
        </row>
        <row r="11">
          <cell r="D11">
            <v>685.61855979628854</v>
          </cell>
          <cell r="O11">
            <v>0.11666666666666665</v>
          </cell>
        </row>
        <row r="12">
          <cell r="L12">
            <v>0</v>
          </cell>
          <cell r="O12">
            <v>876</v>
          </cell>
        </row>
        <row r="379">
          <cell r="Q379">
            <v>0.6</v>
          </cell>
        </row>
      </sheetData>
      <sheetData sheetId="13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ICEA Prod Odars Ecole v41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43763</v>
          </cell>
        </row>
        <row r="5">
          <cell r="C5">
            <v>43851</v>
          </cell>
        </row>
        <row r="11">
          <cell r="C11">
            <v>735.93705271694512</v>
          </cell>
          <cell r="D11">
            <v>0.15389190729034352</v>
          </cell>
        </row>
        <row r="12">
          <cell r="C12">
            <v>1466.8051397519837</v>
          </cell>
          <cell r="D12">
            <v>0.34106164481600015</v>
          </cell>
          <cell r="K12" t="str">
            <v/>
          </cell>
        </row>
        <row r="13">
          <cell r="C13">
            <v>1241.4110604236721</v>
          </cell>
          <cell r="D13">
            <v>0.7023008032562752</v>
          </cell>
          <cell r="H13">
            <v>1229.0315199032634</v>
          </cell>
          <cell r="I13">
            <v>-1.8110199155422779E-2</v>
          </cell>
          <cell r="K13">
            <v>44683</v>
          </cell>
        </row>
        <row r="14">
          <cell r="C14">
            <v>1089.3922400266299</v>
          </cell>
          <cell r="D14">
            <v>1.0359109593785001</v>
          </cell>
          <cell r="H14">
            <v>1733.115515819961</v>
          </cell>
          <cell r="I14">
            <v>-3.7513822755373072E-2</v>
          </cell>
        </row>
        <row r="15">
          <cell r="C15">
            <v>1841.9223922147055</v>
          </cell>
          <cell r="D15">
            <v>1.4388480041399692</v>
          </cell>
          <cell r="H15">
            <v>1374.810441594678</v>
          </cell>
          <cell r="I15">
            <v>-4.2180353157712069E-2</v>
          </cell>
        </row>
        <row r="16">
          <cell r="C16">
            <v>1171.5118127707594</v>
          </cell>
          <cell r="D16">
            <v>1.9233595404841799</v>
          </cell>
          <cell r="H16">
            <v>1820.1966817857385</v>
          </cell>
          <cell r="I16">
            <v>-7.4102522158876027E-2</v>
          </cell>
          <cell r="M16">
            <v>3040.5491022343781</v>
          </cell>
        </row>
        <row r="17">
          <cell r="C17">
            <v>1818.5593919884132</v>
          </cell>
          <cell r="D17">
            <v>2.441901383728593</v>
          </cell>
          <cell r="H17">
            <v>1524.6921702657046</v>
          </cell>
          <cell r="I17">
            <v>-8.0381426551505264E-2</v>
          </cell>
        </row>
        <row r="18">
          <cell r="C18">
            <v>1158.1715210523914</v>
          </cell>
          <cell r="D18">
            <v>0.71049071729155899</v>
          </cell>
          <cell r="H18">
            <v>1831.6126448234966</v>
          </cell>
          <cell r="I18">
            <v>2.2387489204137014</v>
          </cell>
        </row>
        <row r="19">
          <cell r="H19">
            <v>1508.1429620257306</v>
          </cell>
        </row>
        <row r="20">
          <cell r="H20">
            <v>1812.3603295749128</v>
          </cell>
        </row>
        <row r="32">
          <cell r="M32">
            <v>2</v>
          </cell>
          <cell r="N32">
            <v>1649.6341974357138</v>
          </cell>
          <cell r="O32">
            <v>3.6056795179503678E-2</v>
          </cell>
        </row>
        <row r="35">
          <cell r="E35">
            <v>3.7533439879971929E-3</v>
          </cell>
          <cell r="F35">
            <v>1.5759589698497976E-2</v>
          </cell>
          <cell r="G35">
            <v>3.2441714541030566E-6</v>
          </cell>
        </row>
        <row r="36">
          <cell r="E36">
            <v>9.2410469144759769E-3</v>
          </cell>
          <cell r="F36">
            <v>3.3637201482409493E-2</v>
          </cell>
          <cell r="G36">
            <v>7.5645239029497592E-6</v>
          </cell>
        </row>
        <row r="37">
          <cell r="C37">
            <v>3.5481489966279291E-2</v>
          </cell>
          <cell r="E37">
            <v>1.4646977165567246E-2</v>
          </cell>
          <cell r="F37">
            <v>2.5499195570433755E-2</v>
          </cell>
          <cell r="G37">
            <v>1.4061788759785723E-5</v>
          </cell>
          <cell r="L37">
            <v>3.6006653894440396E-2</v>
          </cell>
        </row>
        <row r="38">
          <cell r="E38">
            <v>2.0428388116321083E-2</v>
          </cell>
          <cell r="F38">
            <v>2.2309092918744913E-2</v>
          </cell>
          <cell r="G38">
            <v>2.0741696560825668E-5</v>
          </cell>
        </row>
        <row r="39">
          <cell r="E39">
            <v>2.604074574255099E-2</v>
          </cell>
          <cell r="F39">
            <v>3.8275614587861329E-2</v>
          </cell>
          <cell r="G39">
            <v>2.8769770341191598E-5</v>
          </cell>
        </row>
        <row r="40">
          <cell r="E40">
            <v>3.1726495375434142E-2</v>
          </cell>
          <cell r="F40">
            <v>2.4039226609036984E-2</v>
          </cell>
          <cell r="G40">
            <v>3.8511849030245792E-5</v>
          </cell>
        </row>
        <row r="41">
          <cell r="E41">
            <v>3.7393264988079683E-2</v>
          </cell>
          <cell r="F41">
            <v>3.7843613704118303E-2</v>
          </cell>
          <cell r="G41">
            <v>4.8895575203186004E-5</v>
          </cell>
        </row>
        <row r="42">
          <cell r="E42">
            <v>4.3130324478984607E-2</v>
          </cell>
          <cell r="F42">
            <v>2.3764322152902508E-2</v>
          </cell>
          <cell r="G42">
            <v>1.4225789619024551E-5</v>
          </cell>
        </row>
        <row r="63">
          <cell r="K63">
            <v>4.3259210629929852</v>
          </cell>
          <cell r="L63">
            <v>3.3183742105715237</v>
          </cell>
          <cell r="M63">
            <v>2.7550375107952818</v>
          </cell>
        </row>
        <row r="64">
          <cell r="B64">
            <v>3.120151506953019</v>
          </cell>
          <cell r="C64">
            <v>4.1352558618377664</v>
          </cell>
          <cell r="D64">
            <v>5.2610645812288492</v>
          </cell>
          <cell r="E64">
            <v>6.1919888778791581</v>
          </cell>
          <cell r="F64">
            <v>6.926595460134509</v>
          </cell>
          <cell r="G64">
            <v>7.0038625513232917</v>
          </cell>
          <cell r="H64">
            <v>6.7757154179550465</v>
          </cell>
          <cell r="I64">
            <v>6.2679760405037541</v>
          </cell>
          <cell r="J64">
            <v>5.4337689095656954</v>
          </cell>
        </row>
      </sheetData>
      <sheetData sheetId="1"/>
      <sheetData sheetId="2"/>
      <sheetData sheetId="3">
        <row r="1">
          <cell r="Q1">
            <v>5.4999999999999997E-3</v>
          </cell>
        </row>
        <row r="5">
          <cell r="O5">
            <v>7.0000000000000001E-3</v>
          </cell>
        </row>
      </sheetData>
      <sheetData sheetId="4">
        <row r="10">
          <cell r="U10">
            <v>0.5</v>
          </cell>
        </row>
        <row r="11">
          <cell r="D11">
            <v>174.61724272811989</v>
          </cell>
          <cell r="O11">
            <v>7.4999999999999997E-2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399.28117612332426</v>
          </cell>
          <cell r="O11">
            <v>7.4999999999999997E-2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702.78449145479681</v>
          </cell>
          <cell r="O11">
            <v>0.15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977.58365871752903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133">
          <cell r="O133">
            <v>4.7753836240807326E-2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1221.3438905780058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1498.5929944359086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1732.1474209610315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2015.0768102979346</v>
          </cell>
          <cell r="O11">
            <v>9.9999999999999992E-2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2"/>
      <sheetData sheetId="13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ICEA Prod Ayguesvives Gymn v41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43808</v>
          </cell>
        </row>
        <row r="5">
          <cell r="C5">
            <v>43854</v>
          </cell>
        </row>
        <row r="11">
          <cell r="C11">
            <v>527.34274757565163</v>
          </cell>
          <cell r="D11">
            <v>1.0861861353598061</v>
          </cell>
        </row>
        <row r="12">
          <cell r="C12">
            <v>1749.1243121915923</v>
          </cell>
          <cell r="D12">
            <v>3.5022140354915745</v>
          </cell>
          <cell r="K12" t="str">
            <v/>
          </cell>
        </row>
        <row r="13">
          <cell r="C13">
            <v>909.20571508251612</v>
          </cell>
          <cell r="D13">
            <v>5.9913368073640108</v>
          </cell>
          <cell r="H13">
            <v>1504.932300983422</v>
          </cell>
          <cell r="I13">
            <v>-0.19202420549369137</v>
          </cell>
          <cell r="K13">
            <v>44683</v>
          </cell>
        </row>
        <row r="14">
          <cell r="C14">
            <v>591.17556246761467</v>
          </cell>
          <cell r="D14">
            <v>9.5142087090278356</v>
          </cell>
          <cell r="H14">
            <v>914.45179170933818</v>
          </cell>
          <cell r="I14">
            <v>-0.18571430585758542</v>
          </cell>
        </row>
        <row r="15">
          <cell r="C15">
            <v>1299.5786802351888</v>
          </cell>
          <cell r="D15">
            <v>13.87345619165696</v>
          </cell>
          <cell r="H15">
            <v>446.48800055615652</v>
          </cell>
          <cell r="I15">
            <v>-0.13442187320335286</v>
          </cell>
        </row>
        <row r="16">
          <cell r="C16">
            <v>793.07904989802853</v>
          </cell>
          <cell r="D16">
            <v>19.327459622847972</v>
          </cell>
          <cell r="H16">
            <v>1146.8140165226027</v>
          </cell>
          <cell r="I16">
            <v>-0.47907167840027043</v>
          </cell>
          <cell r="M16">
            <v>1039.6662217279618</v>
          </cell>
        </row>
        <row r="17">
          <cell r="C17">
            <v>1282.5457851730516</v>
          </cell>
          <cell r="D17">
            <v>25.582743665749472</v>
          </cell>
          <cell r="H17">
            <v>923.17333830282996</v>
          </cell>
          <cell r="I17">
            <v>-0.5196917121965825</v>
          </cell>
        </row>
        <row r="18">
          <cell r="C18">
            <v>784.15196562428696</v>
          </cell>
          <cell r="D18">
            <v>12.021941250731494</v>
          </cell>
          <cell r="H18">
            <v>1216.9603815808719</v>
          </cell>
          <cell r="I18">
            <v>20.272249368533032</v>
          </cell>
        </row>
        <row r="19">
          <cell r="H19">
            <v>912.4748230770565</v>
          </cell>
        </row>
        <row r="20">
          <cell r="H20">
            <v>1203.0174571145035</v>
          </cell>
        </row>
        <row r="32">
          <cell r="M32">
            <v>2</v>
          </cell>
          <cell r="N32">
            <v>1063.3477125579875</v>
          </cell>
          <cell r="O32">
            <v>2.3462114188250435E-2</v>
          </cell>
        </row>
        <row r="35">
          <cell r="E35">
            <v>3.5303497068894557E-3</v>
          </cell>
          <cell r="F35">
            <v>1.1334393836478921E-2</v>
          </cell>
          <cell r="G35">
            <v>2.3083285137382363E-5</v>
          </cell>
        </row>
        <row r="36">
          <cell r="E36">
            <v>8.8004229518366776E-3</v>
          </cell>
          <cell r="F36">
            <v>3.8480409365322155E-2</v>
          </cell>
          <cell r="G36">
            <v>7.4168890911800007E-5</v>
          </cell>
        </row>
        <row r="37">
          <cell r="C37">
            <v>1.5154364362308178E-2</v>
          </cell>
          <cell r="E37">
            <v>1.598281379480122E-2</v>
          </cell>
          <cell r="F37">
            <v>1.9095836738424476E-2</v>
          </cell>
          <cell r="G37">
            <v>1.2343979656983357E-4</v>
          </cell>
          <cell r="L37">
            <v>4.5103415520396845E-2</v>
          </cell>
        </row>
        <row r="38">
          <cell r="E38">
            <v>2.1776379282461802E-2</v>
          </cell>
          <cell r="F38">
            <v>1.2344063662355794E-2</v>
          </cell>
          <cell r="G38">
            <v>1.9618730877946146E-4</v>
          </cell>
        </row>
        <row r="39">
          <cell r="E39">
            <v>2.727685688663832E-2</v>
          </cell>
          <cell r="F39">
            <v>2.7520894792611619E-2</v>
          </cell>
          <cell r="G39">
            <v>2.8571747747794282E-4</v>
          </cell>
        </row>
        <row r="40">
          <cell r="E40">
            <v>3.2765556266586532E-2</v>
          </cell>
          <cell r="F40">
            <v>1.663913218482611E-2</v>
          </cell>
          <cell r="G40">
            <v>3.9864774420319713E-4</v>
          </cell>
        </row>
        <row r="41">
          <cell r="E41">
            <v>3.8677973882179847E-2</v>
          </cell>
          <cell r="F41">
            <v>2.7210180932996045E-2</v>
          </cell>
          <cell r="G41">
            <v>5.2783918132839967E-4</v>
          </cell>
        </row>
        <row r="42">
          <cell r="E42">
            <v>4.4191561907284176E-2</v>
          </cell>
          <cell r="F42">
            <v>1.6446609666962986E-2</v>
          </cell>
          <cell r="G42">
            <v>2.4788814181384093E-4</v>
          </cell>
        </row>
        <row r="63">
          <cell r="K63">
            <v>4.4306374830121529</v>
          </cell>
          <cell r="L63">
            <v>3.4230968367404411</v>
          </cell>
          <cell r="M63">
            <v>2.8371503789140773</v>
          </cell>
        </row>
        <row r="64">
          <cell r="B64">
            <v>3.229232640912433</v>
          </cell>
          <cell r="C64">
            <v>4.2300946239319908</v>
          </cell>
          <cell r="D64">
            <v>5.4201046827929362</v>
          </cell>
          <cell r="E64">
            <v>6.3262743392590952</v>
          </cell>
          <cell r="F64">
            <v>6.8180584688709072</v>
          </cell>
          <cell r="G64">
            <v>6.9294451120895957</v>
          </cell>
          <cell r="H64">
            <v>6.7183737598247486</v>
          </cell>
          <cell r="I64">
            <v>6.2406289030933495</v>
          </cell>
          <cell r="J64">
            <v>5.4590229717962631</v>
          </cell>
        </row>
      </sheetData>
      <sheetData sheetId="1"/>
      <sheetData sheetId="2"/>
      <sheetData sheetId="3">
        <row r="1">
          <cell r="Q1">
            <v>5.4999999999999997E-3</v>
          </cell>
        </row>
        <row r="5">
          <cell r="O5">
            <v>4.0000000000000001E-3</v>
          </cell>
        </row>
      </sheetData>
      <sheetData sheetId="4">
        <row r="10">
          <cell r="U10">
            <v>0.5</v>
          </cell>
        </row>
        <row r="11">
          <cell r="D11">
            <v>163.67482860564633</v>
          </cell>
          <cell r="O11">
            <v>6.5000000000000002E-2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396.53295113176864</v>
          </cell>
          <cell r="O11">
            <v>0.05</v>
          </cell>
        </row>
        <row r="12">
          <cell r="L12">
            <v>0</v>
          </cell>
          <cell r="O12">
            <v>146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749.01470185581275</v>
          </cell>
          <cell r="O11">
            <v>0.06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1020.6765423700417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133">
          <cell r="O133">
            <v>1.9972834169430537E-2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1253.8536510400372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1512.1734401809372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1755.1904283349504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2017.8227878263424</v>
          </cell>
          <cell r="O11">
            <v>5.8333333333333327E-2</v>
          </cell>
        </row>
        <row r="12">
          <cell r="L12">
            <v>0</v>
          </cell>
          <cell r="O12">
            <v>778.66666666666663</v>
          </cell>
        </row>
        <row r="379">
          <cell r="Q379">
            <v>0.7</v>
          </cell>
        </row>
      </sheetData>
      <sheetData sheetId="12"/>
      <sheetData sheetId="13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ICEA Prod Montbrun Ecole v41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43881</v>
          </cell>
        </row>
        <row r="5">
          <cell r="C5">
            <v>43983</v>
          </cell>
        </row>
        <row r="11">
          <cell r="C11">
            <v>145.71079101358038</v>
          </cell>
          <cell r="D11">
            <v>5.7103632068970088E-2</v>
          </cell>
          <cell r="K11" t="str">
            <v/>
          </cell>
        </row>
        <row r="12">
          <cell r="C12">
            <v>559.08096936676816</v>
          </cell>
          <cell r="D12">
            <v>0.17284296914645852</v>
          </cell>
          <cell r="K12" t="str">
            <v/>
          </cell>
        </row>
        <row r="13">
          <cell r="C13">
            <v>1793.3258118020576</v>
          </cell>
          <cell r="D13">
            <v>0.43633800334566664</v>
          </cell>
        </row>
        <row r="14">
          <cell r="C14">
            <v>1035.7019479941259</v>
          </cell>
          <cell r="D14">
            <v>0.7965457070913341</v>
          </cell>
          <cell r="H14">
            <v>1507.9977020141814</v>
          </cell>
          <cell r="I14">
            <v>-2.7721282819606619E-2</v>
          </cell>
        </row>
        <row r="15">
          <cell r="C15">
            <v>1006.9019532841635</v>
          </cell>
          <cell r="D15">
            <v>1.6422548937340751</v>
          </cell>
          <cell r="H15">
            <v>1344.7336435001926</v>
          </cell>
          <cell r="I15">
            <v>-5.1032724598259138E-2</v>
          </cell>
        </row>
        <row r="16">
          <cell r="C16">
            <v>704.7323289454722</v>
          </cell>
          <cell r="D16">
            <v>2.8332949153623157</v>
          </cell>
          <cell r="H16">
            <v>907.34584810332569</v>
          </cell>
          <cell r="I16">
            <v>-5.9263503431401077E-2</v>
          </cell>
          <cell r="M16">
            <v>3100.7426032236544</v>
          </cell>
        </row>
        <row r="17">
          <cell r="C17">
            <v>999.04350413043267</v>
          </cell>
          <cell r="D17">
            <v>5.2818110509704832</v>
          </cell>
          <cell r="H17">
            <v>587.02994798027567</v>
          </cell>
          <cell r="I17">
            <v>-7.2193941512979976E-2</v>
          </cell>
        </row>
        <row r="18">
          <cell r="C18">
            <v>700.28111469899613</v>
          </cell>
          <cell r="D18">
            <v>2.2869072490290194</v>
          </cell>
          <cell r="H18">
            <v>763.04919883585467</v>
          </cell>
          <cell r="I18">
            <v>6.3233939269932549</v>
          </cell>
        </row>
        <row r="19">
          <cell r="H19">
            <v>583.26409144729496</v>
          </cell>
        </row>
        <row r="20">
          <cell r="H20">
            <v>758.33122699050034</v>
          </cell>
        </row>
        <row r="32">
          <cell r="M32">
            <v>2</v>
          </cell>
          <cell r="N32">
            <v>668.53839055311244</v>
          </cell>
          <cell r="O32">
            <v>1.5667324967177123E-2</v>
          </cell>
        </row>
        <row r="35">
          <cell r="E35">
            <v>1.5275133097847489E-3</v>
          </cell>
          <cell r="F35">
            <v>5.6556228080375933E-3</v>
          </cell>
          <cell r="G35">
            <v>2.2039383238643967E-6</v>
          </cell>
        </row>
        <row r="36">
          <cell r="E36">
            <v>4.0548391740790118E-3</v>
          </cell>
          <cell r="F36">
            <v>1.3083410656443382E-2</v>
          </cell>
          <cell r="G36">
            <v>3.9923631305330141E-6</v>
          </cell>
        </row>
        <row r="37">
          <cell r="C37">
            <v>5.3893978729115229E-2</v>
          </cell>
          <cell r="E37">
            <v>6.8739481214382487E-3</v>
          </cell>
          <cell r="F37">
            <v>4.1707658943991616E-2</v>
          </cell>
          <cell r="G37">
            <v>9.7389982502581092E-6</v>
          </cell>
        </row>
        <row r="38">
          <cell r="E38">
            <v>1.011600603383294E-2</v>
          </cell>
          <cell r="F38">
            <v>2.366969161869939E-2</v>
          </cell>
          <cell r="G38">
            <v>1.7778990204241866E-5</v>
          </cell>
        </row>
        <row r="39">
          <cell r="E39">
            <v>1.3139072196579022E-2</v>
          </cell>
          <cell r="F39">
            <v>2.2964584288988229E-2</v>
          </cell>
          <cell r="G39">
            <v>3.660355699725427E-5</v>
          </cell>
        </row>
        <row r="40">
          <cell r="E40">
            <v>1.6192086162766631E-2</v>
          </cell>
          <cell r="F40">
            <v>1.5986356688909072E-2</v>
          </cell>
          <cell r="G40">
            <v>6.324389004597959E-5</v>
          </cell>
        </row>
        <row r="41">
          <cell r="E41">
            <v>1.9238056412671754E-2</v>
          </cell>
          <cell r="F41">
            <v>2.2821054589036615E-2</v>
          </cell>
          <cell r="G41">
            <v>1.1790932028233528E-4</v>
          </cell>
        </row>
        <row r="42">
          <cell r="E42">
            <v>2.2303482485449607E-2</v>
          </cell>
          <cell r="F42">
            <v>1.5884952790679353E-2</v>
          </cell>
          <cell r="G42">
            <v>5.1046515720466202E-5</v>
          </cell>
        </row>
        <row r="63">
          <cell r="K63">
            <v>4.6473501282434686</v>
          </cell>
          <cell r="L63">
            <v>3.5539156363515749</v>
          </cell>
          <cell r="M63">
            <v>2.9319152759041005</v>
          </cell>
        </row>
        <row r="64">
          <cell r="B64">
            <v>3.3077910446132872</v>
          </cell>
          <cell r="C64">
            <v>4.3779389518158833</v>
          </cell>
          <cell r="D64">
            <v>5.5715823786852861</v>
          </cell>
          <cell r="E64">
            <v>6.459964220224764</v>
          </cell>
          <cell r="F64">
            <v>7.1976069557619509</v>
          </cell>
          <cell r="G64">
            <v>7.2405440404946475</v>
          </cell>
          <cell r="H64">
            <v>7.0457997377423309</v>
          </cell>
          <cell r="I64">
            <v>6.5873174768916396</v>
          </cell>
          <cell r="J64">
            <v>5.8296963384037239</v>
          </cell>
        </row>
      </sheetData>
      <sheetData sheetId="1"/>
      <sheetData sheetId="2"/>
      <sheetData sheetId="3">
        <row r="1">
          <cell r="Q1">
            <v>3.0000000000000001E-3</v>
          </cell>
        </row>
      </sheetData>
      <sheetData sheetId="4">
        <row r="10">
          <cell r="U10">
            <v>0.5</v>
          </cell>
        </row>
        <row r="11">
          <cell r="D11">
            <v>39.294647503702436</v>
          </cell>
          <cell r="O11">
            <v>3.5000000000000003E-2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172.57184267759294</v>
          </cell>
          <cell r="O11">
            <v>3.5000000000000003E-2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293.54489498129988</v>
          </cell>
          <cell r="O11">
            <v>6.0999999999999999E-2</v>
          </cell>
        </row>
        <row r="12">
          <cell r="L12">
            <v>0</v>
          </cell>
          <cell r="O12">
            <v>182.5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438.20771578590939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133">
          <cell r="O133">
            <v>5.7885469663180554E-2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568.62274792238168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379">
          <cell r="Q379">
            <v>0.7</v>
          </cell>
        </row>
      </sheetData>
      <sheetData sheetId="9">
        <row r="10">
          <cell r="U10">
            <v>0.50000000000000022</v>
          </cell>
        </row>
        <row r="11">
          <cell r="D11">
            <v>702.42780403179495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826.29334202170139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961.78793571996357</v>
          </cell>
          <cell r="O11">
            <v>4.3666666666666666E-2</v>
          </cell>
        </row>
        <row r="12">
          <cell r="L12">
            <v>0</v>
          </cell>
          <cell r="O12">
            <v>790.83333333333326</v>
          </cell>
        </row>
        <row r="379">
          <cell r="Q379">
            <v>0.7</v>
          </cell>
        </row>
      </sheetData>
      <sheetData sheetId="12"/>
      <sheetData sheetId="13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ICEA Prod Espanès Hangar v41"/>
    </sheetNames>
    <definedNames>
      <definedName name="Df" refersTo="='2022'!$Q$379" sheetId="4"/>
      <definedName name="Df" refersTo="='2023'!$Q$379" sheetId="5"/>
      <definedName name="Df" refersTo="='2024'!$Q$379" sheetId="6"/>
      <definedName name="Df" refersTo="='2025'!$Q$379" sheetId="7"/>
      <definedName name="Df" refersTo="='2026'!$Q$379" sheetId="8"/>
      <definedName name="Df" refersTo="='2027'!$Q$379" sheetId="9"/>
      <definedName name="PertePVan" refersTo="='Réglage perte'!$Q$1"/>
      <definedName name="PousH" refersTo="='2022'!$U$10" sheetId="4"/>
      <definedName name="PousH" refersTo="='2023'!$U$10" sheetId="5"/>
      <definedName name="PousH" refersTo="='2024'!$U$10" sheetId="6"/>
      <definedName name="PousH" refersTo="='2025'!$U$10" sheetId="7"/>
      <definedName name="PousH" refersTo="='2026'!$U$10" sheetId="8"/>
      <definedName name="PousH" refersTo="='2027'!$U$10" sheetId="9"/>
      <definedName name="Pspv" refersTo="='2022'!$L$12" sheetId="4"/>
      <definedName name="Pspv" refersTo="='2023'!$L$12" sheetId="5"/>
      <definedName name="Pspv" refersTo="='2024'!$L$12" sheetId="6"/>
      <definedName name="Pspv" refersTo="='2025'!$L$12" sheetId="7"/>
      <definedName name="Pspv" refersTo="='2026'!$L$12" sheetId="8"/>
      <definedName name="Pspv" refersTo="='2027'!$L$12" sheetId="9"/>
      <definedName name="Salim" refersTo="='2022'!$O$11" sheetId="4"/>
      <definedName name="Salim" refersTo="='2023'!$O$11" sheetId="5"/>
      <definedName name="Salim" refersTo="='2024'!$O$11" sheetId="6"/>
      <definedName name="Salim" refersTo="='2025'!$O$11" sheetId="7"/>
      <definedName name="Salim" refersTo="='2026'!$O$11" sheetId="8"/>
      <definedName name="Salim" refersTo="='2027'!$O$11" sheetId="9"/>
      <definedName name="Tau_j" refersTo="='2022'!$O$12" sheetId="4"/>
      <definedName name="Tau_j" refersTo="='2023'!$O$12" sheetId="5"/>
      <definedName name="Tau_j" refersTo="='2024'!$O$12" sheetId="6"/>
      <definedName name="Tau_j" refersTo="='2025'!$O$12" sheetId="7"/>
      <definedName name="Tau_j" refersTo="='2026'!$O$12" sheetId="8"/>
      <definedName name="Tau_j" refersTo="='2027'!$O$12" sheetId="9"/>
      <definedName name="Wh_Ppv" refersTo="='2022'!$D$11" sheetId="4"/>
      <definedName name="Wh_Ppv" refersTo="='2023'!$D$11" sheetId="5"/>
      <definedName name="Wh_Ppv" refersTo="='2024'!$D$11" sheetId="6"/>
      <definedName name="Wh_Ppv" refersTo="='2025'!$D$11" sheetId="7"/>
      <definedName name="Wh_Ppv" refersTo="='2026'!$D$11" sheetId="8"/>
      <definedName name="Wh_Ppv" refersTo="='2027'!$D$11" sheetId="9"/>
    </definedNames>
    <sheetDataSet>
      <sheetData sheetId="0">
        <row r="4">
          <cell r="C4">
            <v>44424</v>
          </cell>
        </row>
        <row r="5">
          <cell r="C5">
            <v>44536</v>
          </cell>
        </row>
        <row r="11">
          <cell r="C11">
            <v>975.46900518979078</v>
          </cell>
          <cell r="D11">
            <v>1.9670278367604659</v>
          </cell>
          <cell r="K11" t="str">
            <v/>
          </cell>
        </row>
        <row r="12">
          <cell r="C12">
            <v>650.69306144123868</v>
          </cell>
          <cell r="D12">
            <v>5.4970587276337994</v>
          </cell>
        </row>
        <row r="13">
          <cell r="C13">
            <v>1242.895419387856</v>
          </cell>
          <cell r="D13">
            <v>9.1830071508879563</v>
          </cell>
          <cell r="H13">
            <v>1149.4706846230049</v>
          </cell>
          <cell r="I13">
            <v>-0.228815704772801</v>
          </cell>
        </row>
        <row r="14">
          <cell r="C14">
            <v>700.05340767756888</v>
          </cell>
          <cell r="D14">
            <v>13.166986941061344</v>
          </cell>
          <cell r="H14">
            <v>1515.3738438316245</v>
          </cell>
          <cell r="I14">
            <v>-0.4301968226063817</v>
          </cell>
          <cell r="M14">
            <v>2534.8464205931095</v>
          </cell>
        </row>
        <row r="15">
          <cell r="C15">
            <v>1228.0693128812702</v>
          </cell>
          <cell r="D15">
            <v>17.289044697672882</v>
          </cell>
          <cell r="H15">
            <v>1277.3007847480155</v>
          </cell>
          <cell r="I15">
            <v>-0.48428058209130853</v>
          </cell>
        </row>
        <row r="16">
          <cell r="C16">
            <v>692.34385436268792</v>
          </cell>
          <cell r="D16">
            <v>22.061243227338192</v>
          </cell>
          <cell r="H16">
            <v>1527.3610307447289</v>
          </cell>
          <cell r="I16">
            <v>-0.73402684311324151</v>
          </cell>
        </row>
        <row r="17">
          <cell r="H17">
            <v>1264.3406150482592</v>
          </cell>
        </row>
        <row r="18">
          <cell r="H18">
            <v>1512.5617357789906</v>
          </cell>
        </row>
        <row r="19">
          <cell r="H19">
            <v>1250.7631218032213</v>
          </cell>
        </row>
        <row r="20">
          <cell r="H20">
            <v>1496.0129085633328</v>
          </cell>
        </row>
        <row r="32">
          <cell r="M32">
            <v>2</v>
          </cell>
          <cell r="N32">
            <v>1365.5362899450167</v>
          </cell>
          <cell r="O32">
            <v>3.0612363087855372E-2</v>
          </cell>
        </row>
        <row r="35">
          <cell r="C35">
            <v>2.9436928440858216E-2</v>
          </cell>
          <cell r="E35">
            <v>4.9229731676435412E-3</v>
          </cell>
          <cell r="F35">
            <v>2.0742102046489776E-2</v>
          </cell>
          <cell r="G35">
            <v>4.0972298304039836E-5</v>
          </cell>
        </row>
        <row r="36">
          <cell r="E36">
            <v>9.3591155010086143E-3</v>
          </cell>
          <cell r="F36">
            <v>1.3743236089448139E-2</v>
          </cell>
          <cell r="G36">
            <v>1.1451440964266458E-4</v>
          </cell>
        </row>
        <row r="37">
          <cell r="E37">
            <v>1.440525722728379E-2</v>
          </cell>
          <cell r="F37">
            <v>2.6557823643388961E-2</v>
          </cell>
          <cell r="G37">
            <v>1.910722334064469E-4</v>
          </cell>
        </row>
        <row r="38">
          <cell r="E38">
            <v>1.9512112496831043E-2</v>
          </cell>
          <cell r="F38">
            <v>1.4807391371397223E-2</v>
          </cell>
          <cell r="G38">
            <v>2.7436362671433349E-4</v>
          </cell>
        </row>
        <row r="39">
          <cell r="E39">
            <v>2.460368651815802E-2</v>
          </cell>
          <cell r="F39">
            <v>2.6282481508033619E-2</v>
          </cell>
          <cell r="G39">
            <v>3.6030808971418166E-4</v>
          </cell>
        </row>
        <row r="40">
          <cell r="E40">
            <v>2.9751216479014724E-2</v>
          </cell>
          <cell r="F40">
            <v>1.4648528636302931E-2</v>
          </cell>
          <cell r="G40">
            <v>4.5983287557458546E-4</v>
          </cell>
        </row>
        <row r="61">
          <cell r="K61">
            <v>4.3086129638973665</v>
          </cell>
          <cell r="L61">
            <v>3.2243383969993311</v>
          </cell>
          <cell r="M61">
            <v>2.6391249925482336</v>
          </cell>
        </row>
        <row r="62">
          <cell r="B62">
            <v>3.0645266502289985</v>
          </cell>
          <cell r="C62">
            <v>4.1351957264920927</v>
          </cell>
          <cell r="D62">
            <v>5.291943986766503</v>
          </cell>
          <cell r="E62">
            <v>6.1967222626061709</v>
          </cell>
          <cell r="F62">
            <v>6.8503280039899899</v>
          </cell>
          <cell r="G62">
            <v>6.9515379355347555</v>
          </cell>
          <cell r="H62">
            <v>6.7487782370580698</v>
          </cell>
          <cell r="I62">
            <v>6.2307273222823509</v>
          </cell>
          <cell r="J62">
            <v>5.4232125946079606</v>
          </cell>
        </row>
      </sheetData>
      <sheetData sheetId="1"/>
      <sheetData sheetId="2"/>
      <sheetData sheetId="3">
        <row r="1">
          <cell r="Q1">
            <v>5.0000000000000001E-3</v>
          </cell>
        </row>
      </sheetData>
      <sheetData sheetId="4">
        <row r="10">
          <cell r="U10">
            <v>0.5</v>
          </cell>
        </row>
        <row r="11">
          <cell r="D11">
            <v>230.38563798453106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0.49999999999999994</v>
          </cell>
        </row>
        <row r="11">
          <cell r="D11">
            <v>439.01187325044884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133">
          <cell r="O133">
            <v>3.4993230934781447E-2</v>
          </cell>
        </row>
        <row r="379">
          <cell r="Q379">
            <v>0.5</v>
          </cell>
        </row>
      </sheetData>
      <sheetData sheetId="6">
        <row r="10">
          <cell r="U10">
            <v>0.5</v>
          </cell>
        </row>
        <row r="11">
          <cell r="D11">
            <v>664.58667768500163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7">
        <row r="10">
          <cell r="U10">
            <v>0.5</v>
          </cell>
        </row>
        <row r="11">
          <cell r="D11">
            <v>904.82485117878969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8">
        <row r="10">
          <cell r="U10">
            <v>0.5</v>
          </cell>
        </row>
        <row r="11">
          <cell r="D11">
            <v>1122.0204761390778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9">
        <row r="10">
          <cell r="U10">
            <v>0.5</v>
          </cell>
        </row>
        <row r="11">
          <cell r="D11">
            <v>1365.5268735230493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ICEA Prod Montgiscard SDIS v41"/>
    </sheetNames>
    <definedNames>
      <definedName name="Df" refersTo="='2022'!$Q$379" sheetId="4"/>
      <definedName name="Df" refersTo="='2023'!$Q$379" sheetId="5"/>
      <definedName name="Df" refersTo="='2024'!$Q$379" sheetId="6"/>
      <definedName name="Df" refersTo="='2025'!$Q$379" sheetId="7"/>
      <definedName name="Df" refersTo="='2026'!$Q$379" sheetId="8"/>
      <definedName name="Df" refersTo="='2027'!$Q$379" sheetId="9"/>
      <definedName name="PertePVan" refersTo="='Réglage perte'!$Q$1"/>
      <definedName name="PousH" refersTo="='2022'!$U$10" sheetId="4"/>
      <definedName name="PousH" refersTo="='2023'!$U$10" sheetId="5"/>
      <definedName name="PousH" refersTo="='2024'!$U$10" sheetId="6"/>
      <definedName name="PousH" refersTo="='2025'!$U$10" sheetId="7"/>
      <definedName name="PousH" refersTo="='2026'!$U$10" sheetId="8"/>
      <definedName name="PousH" refersTo="='2027'!$U$10" sheetId="9"/>
      <definedName name="Pspv" refersTo="='2022'!$L$12" sheetId="4"/>
      <definedName name="Pspv" refersTo="='2023'!$L$12" sheetId="5"/>
      <definedName name="Pspv" refersTo="='2024'!$L$12" sheetId="6"/>
      <definedName name="Pspv" refersTo="='2025'!$L$12" sheetId="7"/>
      <definedName name="Pspv" refersTo="='2026'!$L$12" sheetId="8"/>
      <definedName name="Pspv" refersTo="='2027'!$L$12" sheetId="9"/>
      <definedName name="Salim" refersTo="='2022'!$O$11" sheetId="4"/>
      <definedName name="Salim" refersTo="='2023'!$O$11" sheetId="5"/>
      <definedName name="Salim" refersTo="='2024'!$O$11" sheetId="6"/>
      <definedName name="Salim" refersTo="='2025'!$O$11" sheetId="7"/>
      <definedName name="Salim" refersTo="='2026'!$O$11" sheetId="8"/>
      <definedName name="Salim" refersTo="='2027'!$O$11" sheetId="9"/>
      <definedName name="Tau_j" refersTo="='2022'!$O$12" sheetId="4"/>
      <definedName name="Tau_j" refersTo="='2023'!$O$12" sheetId="5"/>
      <definedName name="Tau_j" refersTo="='2024'!$O$12" sheetId="6"/>
      <definedName name="Tau_j" refersTo="='2025'!$O$12" sheetId="7"/>
      <definedName name="Tau_j" refersTo="='2026'!$O$12" sheetId="8"/>
      <definedName name="Tau_j" refersTo="='2027'!$O$12" sheetId="9"/>
      <definedName name="Wh_Ppv" refersTo="='2022'!$D$11" sheetId="4"/>
      <definedName name="Wh_Ppv" refersTo="='2023'!$D$11" sheetId="5"/>
      <definedName name="Wh_Ppv" refersTo="='2024'!$D$11" sheetId="6"/>
      <definedName name="Wh_Ppv" refersTo="='2025'!$D$11" sheetId="7"/>
      <definedName name="Wh_Ppv" refersTo="='2026'!$D$11" sheetId="8"/>
      <definedName name="Wh_Ppv" refersTo="='2027'!$D$11" sheetId="9"/>
    </definedNames>
    <sheetDataSet>
      <sheetData sheetId="0">
        <row r="4">
          <cell r="C4">
            <v>44522</v>
          </cell>
        </row>
        <row r="5">
          <cell r="C5">
            <v>44568</v>
          </cell>
        </row>
        <row r="11">
          <cell r="C11">
            <v>171.33526937231565</v>
          </cell>
          <cell r="D11">
            <v>1.4252258981740151</v>
          </cell>
          <cell r="K11" t="str">
            <v/>
          </cell>
        </row>
        <row r="12">
          <cell r="C12">
            <v>137.74392590045338</v>
          </cell>
          <cell r="D12">
            <v>3.7376268643448003</v>
          </cell>
        </row>
        <row r="13">
          <cell r="C13">
            <v>302.97558192057153</v>
          </cell>
          <cell r="D13">
            <v>6.1305757737645825</v>
          </cell>
          <cell r="H13">
            <v>244.71492065880142</v>
          </cell>
          <cell r="I13">
            <v>-0.13400936554940923</v>
          </cell>
        </row>
        <row r="14">
          <cell r="C14">
            <v>161.01020268732336</v>
          </cell>
          <cell r="D14">
            <v>8.5784367557273011</v>
          </cell>
          <cell r="H14">
            <v>366.88569375122643</v>
          </cell>
          <cell r="I14">
            <v>-0.27936598533131551</v>
          </cell>
          <cell r="M14">
            <v>543.72606907563625</v>
          </cell>
        </row>
        <row r="15">
          <cell r="C15">
            <v>299.30398144696915</v>
          </cell>
          <cell r="D15">
            <v>11.117045545755152</v>
          </cell>
          <cell r="H15">
            <v>309.78825983843274</v>
          </cell>
          <cell r="I15">
            <v>-0.31128484231866871</v>
          </cell>
        </row>
        <row r="16">
          <cell r="C16">
            <v>159.11532827110312</v>
          </cell>
          <cell r="D16">
            <v>14.056309520284284</v>
          </cell>
          <cell r="H16">
            <v>375.30888615028033</v>
          </cell>
          <cell r="I16">
            <v>-0.47336304364997694</v>
          </cell>
        </row>
        <row r="17">
          <cell r="H17">
            <v>306.44444852827161</v>
          </cell>
        </row>
        <row r="18">
          <cell r="H18">
            <v>371.57319401519692</v>
          </cell>
        </row>
        <row r="19">
          <cell r="H19">
            <v>302.92015190278295</v>
          </cell>
        </row>
        <row r="20">
          <cell r="H20">
            <v>367.22724318080225</v>
          </cell>
        </row>
        <row r="32">
          <cell r="M32">
            <v>2</v>
          </cell>
          <cell r="N32">
            <v>332.93112299158139</v>
          </cell>
          <cell r="O32">
            <v>3.0752104847554841E-2</v>
          </cell>
        </row>
        <row r="35">
          <cell r="C35">
            <v>2.4698364221137914E-2</v>
          </cell>
          <cell r="E35">
            <v>2.8173571074794528E-3</v>
          </cell>
          <cell r="F35">
            <v>1.4934919672471136E-2</v>
          </cell>
          <cell r="G35">
            <v>1.224006221423847E-4</v>
          </cell>
        </row>
        <row r="36">
          <cell r="E36">
            <v>8.023271869000273E-3</v>
          </cell>
          <cell r="F36">
            <v>1.1976294960373604E-2</v>
          </cell>
          <cell r="G36">
            <v>3.2109562978639017E-4</v>
          </cell>
        </row>
        <row r="37">
          <cell r="E37">
            <v>1.3065068600680652E-2</v>
          </cell>
          <cell r="F37">
            <v>2.6712481402968186E-2</v>
          </cell>
          <cell r="G37">
            <v>5.2627340919762084E-4</v>
          </cell>
        </row>
        <row r="38">
          <cell r="E38">
            <v>1.8163882895532942E-2</v>
          </cell>
          <cell r="F38">
            <v>1.4039508748310201E-2</v>
          </cell>
          <cell r="G38">
            <v>7.3746699675397828E-4</v>
          </cell>
        </row>
        <row r="39">
          <cell r="E39">
            <v>2.3250222335773976E-2</v>
          </cell>
          <cell r="F39">
            <v>2.6436555295943336E-2</v>
          </cell>
          <cell r="G39">
            <v>9.5606992636915319E-4</v>
          </cell>
        </row>
        <row r="40">
          <cell r="E40">
            <v>2.8389010980130108E-2</v>
          </cell>
          <cell r="F40">
            <v>1.3884976078340152E-2</v>
          </cell>
          <cell r="G40">
            <v>1.2093358503112591E-3</v>
          </cell>
        </row>
        <row r="61">
          <cell r="K61">
            <v>3.7998689759698356</v>
          </cell>
          <cell r="L61">
            <v>2.5955073444707137</v>
          </cell>
          <cell r="M61">
            <v>1.9108614027620487</v>
          </cell>
        </row>
        <row r="62">
          <cell r="B62">
            <v>2.303335035196441</v>
          </cell>
          <cell r="C62">
            <v>3.4198258898255309</v>
          </cell>
          <cell r="D62">
            <v>4.8027926651767041</v>
          </cell>
          <cell r="E62">
            <v>6.1472661054255084</v>
          </cell>
          <cell r="F62">
            <v>7.0139030823795459</v>
          </cell>
          <cell r="G62">
            <v>7.1545897858096703</v>
          </cell>
          <cell r="H62">
            <v>6.8609200652999869</v>
          </cell>
          <cell r="I62">
            <v>6.1157628676085167</v>
          </cell>
          <cell r="J62">
            <v>5.120474420651127</v>
          </cell>
        </row>
      </sheetData>
      <sheetData sheetId="1"/>
      <sheetData sheetId="2"/>
      <sheetData sheetId="3">
        <row r="1">
          <cell r="Q1">
            <v>5.0000000000000001E-3</v>
          </cell>
        </row>
      </sheetData>
      <sheetData sheetId="4">
        <row r="10">
          <cell r="U10">
            <v>0.5</v>
          </cell>
        </row>
        <row r="11">
          <cell r="D11">
            <v>32.230269487068654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0.5</v>
          </cell>
        </row>
        <row r="11">
          <cell r="D11">
            <v>91.544218853625352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133">
          <cell r="O133">
            <v>3.0700399563379131E-2</v>
          </cell>
        </row>
        <row r="379">
          <cell r="Q379">
            <v>0.5</v>
          </cell>
        </row>
      </sheetData>
      <sheetData sheetId="6">
        <row r="10">
          <cell r="U10">
            <v>0.49999999999999989</v>
          </cell>
        </row>
        <row r="11">
          <cell r="D11">
            <v>146.2742059229422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7">
        <row r="10">
          <cell r="U10">
            <v>0.49999999999999978</v>
          </cell>
        </row>
        <row r="11">
          <cell r="D11">
            <v>204.59381042307905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8">
        <row r="10">
          <cell r="U10">
            <v>0.49999999999999978</v>
          </cell>
        </row>
        <row r="11">
          <cell r="D11">
            <v>257.2485236583816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9">
        <row r="10">
          <cell r="U10">
            <v>0.49999999999999956</v>
          </cell>
        </row>
        <row r="11">
          <cell r="D11">
            <v>316.34408525554682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ureville v41 figu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43243</v>
          </cell>
        </row>
        <row r="5">
          <cell r="C5">
            <v>43272</v>
          </cell>
        </row>
        <row r="11">
          <cell r="D11">
            <v>1.6747213134869068</v>
          </cell>
        </row>
        <row r="12">
          <cell r="D12">
            <v>6.4202606135542934</v>
          </cell>
        </row>
        <row r="13">
          <cell r="D13">
            <v>9.6003169398723021</v>
          </cell>
        </row>
        <row r="14">
          <cell r="C14">
            <v>404.81144990838033</v>
          </cell>
          <cell r="D14">
            <v>13.835903972977185</v>
          </cell>
          <cell r="H14">
            <v>601.44417563785896</v>
          </cell>
          <cell r="I14">
            <v>-0.76147889062777985</v>
          </cell>
          <cell r="K14">
            <v>44306</v>
          </cell>
        </row>
        <row r="15">
          <cell r="C15">
            <v>795.70679483449362</v>
          </cell>
          <cell r="D15">
            <v>20.218995020307105</v>
          </cell>
          <cell r="H15">
            <v>541.48431288720531</v>
          </cell>
          <cell r="I15">
            <v>-1.028148077575409</v>
          </cell>
          <cell r="K15" t="str">
            <v/>
          </cell>
        </row>
        <row r="16">
          <cell r="C16">
            <v>506.02821209667223</v>
          </cell>
          <cell r="D16">
            <v>26.348672082943658</v>
          </cell>
          <cell r="H16">
            <v>901.01996767533251</v>
          </cell>
          <cell r="I16">
            <v>-2.1800991744982809</v>
          </cell>
        </row>
        <row r="17">
          <cell r="C17">
            <v>647.48526113045932</v>
          </cell>
          <cell r="D17">
            <v>32.768606441559015</v>
          </cell>
          <cell r="H17">
            <v>770.01662357932946</v>
          </cell>
          <cell r="I17">
            <v>-2.3674385119665757</v>
          </cell>
        </row>
        <row r="18">
          <cell r="C18">
            <v>408.39185501652656</v>
          </cell>
          <cell r="D18">
            <v>7.4832204624184193</v>
          </cell>
          <cell r="H18">
            <v>698.4038594970541</v>
          </cell>
          <cell r="I18">
            <v>30.855550605107137</v>
          </cell>
          <cell r="M18">
            <v>1729.6910240002314</v>
          </cell>
        </row>
        <row r="19">
          <cell r="C19">
            <v>638.25774180601832</v>
          </cell>
          <cell r="D19">
            <v>6.2007474539773337</v>
          </cell>
          <cell r="H19">
            <v>518.13282903723064</v>
          </cell>
          <cell r="I19">
            <v>40.086557939049534</v>
          </cell>
        </row>
        <row r="20">
          <cell r="C20">
            <v>402.03111370244318</v>
          </cell>
          <cell r="D20">
            <v>10.484822459111561</v>
          </cell>
          <cell r="H20">
            <v>638.24946270922146</v>
          </cell>
          <cell r="I20">
            <v>45.141778515533787</v>
          </cell>
        </row>
        <row r="32">
          <cell r="M32">
            <v>2</v>
          </cell>
          <cell r="N32">
            <v>550.83867850595084</v>
          </cell>
          <cell r="O32">
            <v>5.4642910827585496E-2</v>
          </cell>
        </row>
        <row r="35">
          <cell r="E35">
            <v>2.3974021512186898E-3</v>
          </cell>
          <cell r="F35">
            <v>1.3832790032349813E-2</v>
          </cell>
          <cell r="G35">
            <v>2.9037155300816318E-4</v>
          </cell>
        </row>
        <row r="36">
          <cell r="E36">
            <v>8.691787015430141E-3</v>
          </cell>
          <cell r="F36">
            <v>4.64662655805008E-2</v>
          </cell>
          <cell r="G36">
            <v>5.4181857619343932E-4</v>
          </cell>
        </row>
        <row r="37">
          <cell r="E37">
            <v>1.6822207052419276E-2</v>
          </cell>
          <cell r="F37">
            <v>7.9871403999922944E-2</v>
          </cell>
          <cell r="G37">
            <v>8.2999836663269315E-4</v>
          </cell>
        </row>
        <row r="38">
          <cell r="E38">
            <v>2.5120862823189982E-2</v>
          </cell>
          <cell r="F38">
            <v>3.6164232981732221E-2</v>
          </cell>
          <cell r="G38">
            <v>1.1918587898579105E-3</v>
          </cell>
          <cell r="L38">
            <v>7.6966161784992645E-2</v>
          </cell>
        </row>
        <row r="39">
          <cell r="C39">
            <v>9.737976641309172E-2</v>
          </cell>
          <cell r="E39">
            <v>3.3068068815850199E-2</v>
          </cell>
          <cell r="F39">
            <v>7.1997045409124799E-2</v>
          </cell>
          <cell r="G39">
            <v>1.7028019052896266E-3</v>
          </cell>
        </row>
        <row r="40">
          <cell r="E40">
            <v>4.1663292923524581E-2</v>
          </cell>
          <cell r="F40">
            <v>4.4630998941364623E-2</v>
          </cell>
          <cell r="G40">
            <v>2.2206766731142917E-3</v>
          </cell>
        </row>
        <row r="41">
          <cell r="E41">
            <v>4.9960896995937726E-2</v>
          </cell>
          <cell r="F41">
            <v>5.7850514796473532E-2</v>
          </cell>
          <cell r="G41">
            <v>2.7601078266958883E-3</v>
          </cell>
        </row>
        <row r="42">
          <cell r="E42">
            <v>5.8457469539064832E-2</v>
          </cell>
          <cell r="F42">
            <v>3.5636754858129963E-2</v>
          </cell>
          <cell r="G42">
            <v>6.2925899925284372E-4</v>
          </cell>
        </row>
        <row r="43">
          <cell r="E43">
            <v>6.6902327069160716E-2</v>
          </cell>
          <cell r="F43">
            <v>5.6916892704121584E-2</v>
          </cell>
          <cell r="G43">
            <v>5.2129844086873335E-4</v>
          </cell>
        </row>
        <row r="44">
          <cell r="E44">
            <v>7.5514593793068116E-2</v>
          </cell>
          <cell r="F44">
            <v>3.5092775357418615E-2</v>
          </cell>
          <cell r="G44">
            <v>8.8192043686596735E-4</v>
          </cell>
        </row>
        <row r="65">
          <cell r="K65">
            <v>4.0841118083674708</v>
          </cell>
          <cell r="L65">
            <v>3.1752480649391739</v>
          </cell>
          <cell r="M65">
            <v>2.6439990622971727</v>
          </cell>
        </row>
        <row r="66">
          <cell r="B66">
            <v>3.0988146157156704</v>
          </cell>
          <cell r="C66">
            <v>3.9914286460171899</v>
          </cell>
          <cell r="D66">
            <v>4.8524191343726741</v>
          </cell>
          <cell r="E66">
            <v>5.4725161667464324</v>
          </cell>
          <cell r="F66">
            <v>6.2802665902210322</v>
          </cell>
          <cell r="G66">
            <v>6.1406800562559383</v>
          </cell>
          <cell r="H66">
            <v>5.8312214930842439</v>
          </cell>
          <cell r="I66">
            <v>5.4779172150279374</v>
          </cell>
          <cell r="J66">
            <v>5.041209138400716</v>
          </cell>
        </row>
      </sheetData>
      <sheetData sheetId="1" refreshError="1"/>
      <sheetData sheetId="2" refreshError="1"/>
      <sheetData sheetId="3">
        <row r="1">
          <cell r="Q1">
            <v>8.0000000000000002E-3</v>
          </cell>
        </row>
        <row r="5">
          <cell r="U5">
            <v>8.0000000000000002E-3</v>
          </cell>
        </row>
        <row r="10">
          <cell r="U10">
            <v>8.0000000000000002E-3</v>
          </cell>
        </row>
        <row r="11">
          <cell r="D11">
            <v>-1.4999621440122004</v>
          </cell>
          <cell r="O11">
            <v>0.7</v>
          </cell>
        </row>
      </sheetData>
      <sheetData sheetId="4">
        <row r="10">
          <cell r="U10">
            <v>0.5</v>
          </cell>
        </row>
        <row r="11">
          <cell r="D11">
            <v>13.605324335426303</v>
          </cell>
          <cell r="O11">
            <v>0.14000000000000001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97.534114424604923</v>
          </cell>
          <cell r="O11">
            <v>0.08</v>
          </cell>
        </row>
        <row r="12">
          <cell r="L12">
            <v>0</v>
          </cell>
          <cell r="O12">
            <v>182.5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176.98408528951586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274.30454854463824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353.7677886955953</v>
          </cell>
          <cell r="O11">
            <v>0.18</v>
          </cell>
        </row>
        <row r="12">
          <cell r="L12">
            <v>0</v>
          </cell>
          <cell r="O12">
            <v>620.5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453.48649133650906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133">
          <cell r="O133">
            <v>0.11292846769042036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532.57375499480258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632.91519492832413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379">
          <cell r="Q379">
            <v>0.7</v>
          </cell>
        </row>
      </sheetData>
      <sheetData sheetId="12">
        <row r="10">
          <cell r="U10">
            <v>0.5</v>
          </cell>
        </row>
        <row r="11">
          <cell r="D11">
            <v>703.18803214718901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379">
          <cell r="Q379">
            <v>0.7</v>
          </cell>
        </row>
      </sheetData>
      <sheetData sheetId="13">
        <row r="10">
          <cell r="U10">
            <v>0.5</v>
          </cell>
        </row>
        <row r="11">
          <cell r="D11">
            <v>804.37123507936303</v>
          </cell>
          <cell r="O11">
            <v>0.13999999999999999</v>
          </cell>
        </row>
        <row r="12">
          <cell r="L12">
            <v>0</v>
          </cell>
          <cell r="O12">
            <v>936.83333333333337</v>
          </cell>
        </row>
        <row r="379">
          <cell r="Q379">
            <v>0.7</v>
          </cell>
        </row>
      </sheetData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yguesvives MJC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43250</v>
          </cell>
        </row>
        <row r="5">
          <cell r="C5">
            <v>43297</v>
          </cell>
        </row>
        <row r="11">
          <cell r="C11">
            <v>36.932606393934712</v>
          </cell>
          <cell r="D11">
            <v>0.21713339725458305</v>
          </cell>
        </row>
        <row r="12">
          <cell r="C12">
            <v>285.97822596912249</v>
          </cell>
          <cell r="D12">
            <v>1.0249109382217445</v>
          </cell>
        </row>
        <row r="13">
          <cell r="C13">
            <v>455.92146644226523</v>
          </cell>
          <cell r="D13">
            <v>1.6939645180345639</v>
          </cell>
        </row>
        <row r="14">
          <cell r="C14">
            <v>249.67904070489021</v>
          </cell>
          <cell r="D14">
            <v>2.2191368537490663</v>
          </cell>
          <cell r="H14">
            <v>317.16402703247957</v>
          </cell>
          <cell r="I14">
            <v>-6.4182154756231125E-2</v>
          </cell>
          <cell r="K14">
            <v>44306</v>
          </cell>
        </row>
        <row r="15">
          <cell r="C15">
            <v>464.549706459432</v>
          </cell>
          <cell r="D15">
            <v>3.1671333457043644</v>
          </cell>
          <cell r="H15">
            <v>310.77354477397688</v>
          </cell>
          <cell r="I15">
            <v>-9.003125290007441E-2</v>
          </cell>
          <cell r="K15" t="str">
            <v/>
          </cell>
        </row>
        <row r="16">
          <cell r="C16">
            <v>298.84508881003126</v>
          </cell>
          <cell r="D16">
            <v>4.0124633108278571</v>
          </cell>
          <cell r="H16">
            <v>499.79859792031232</v>
          </cell>
          <cell r="I16">
            <v>-0.18082514003979622</v>
          </cell>
        </row>
        <row r="17">
          <cell r="C17">
            <v>415.49301992687754</v>
          </cell>
          <cell r="D17">
            <v>4.7927693653539576</v>
          </cell>
          <cell r="H17">
            <v>420.04506248708788</v>
          </cell>
          <cell r="I17">
            <v>-0.18482780309161839</v>
          </cell>
        </row>
        <row r="18">
          <cell r="C18">
            <v>264.21598884681856</v>
          </cell>
          <cell r="D18">
            <v>1.1387489467402268</v>
          </cell>
          <cell r="H18">
            <v>430.72169124073702</v>
          </cell>
          <cell r="I18">
            <v>4.3051425800282654</v>
          </cell>
          <cell r="M18">
            <v>941.24673086947928</v>
          </cell>
        </row>
        <row r="19">
          <cell r="C19">
            <v>408.38697463730296</v>
          </cell>
          <cell r="D19">
            <v>0.93778872261942103</v>
          </cell>
          <cell r="H19">
            <v>332.52724620859294</v>
          </cell>
          <cell r="I19">
            <v>5.2968507209613005</v>
          </cell>
        </row>
        <row r="20">
          <cell r="C20">
            <v>259.91815146638191</v>
          </cell>
          <cell r="D20">
            <v>1.6318963902979104</v>
          </cell>
          <cell r="H20">
            <v>407.54667147753707</v>
          </cell>
          <cell r="I20">
            <v>5.5074551415203317</v>
          </cell>
        </row>
        <row r="32">
          <cell r="M32">
            <v>2</v>
          </cell>
          <cell r="N32">
            <v>367.9640105627181</v>
          </cell>
          <cell r="O32">
            <v>3.4451989057331017E-2</v>
          </cell>
        </row>
        <row r="35">
          <cell r="E35">
            <v>2.5877376710289469E-3</v>
          </cell>
          <cell r="F35">
            <v>8.4529321930039529E-3</v>
          </cell>
          <cell r="G35">
            <v>4.9278672711253576E-5</v>
          </cell>
        </row>
        <row r="36">
          <cell r="E36">
            <v>8.5781075074727754E-3</v>
          </cell>
          <cell r="F36">
            <v>2.4484271937245897E-2</v>
          </cell>
          <cell r="G36">
            <v>8.5633961257515763E-5</v>
          </cell>
        </row>
        <row r="37">
          <cell r="E37">
            <v>1.6671419666160758E-2</v>
          </cell>
          <cell r="F37">
            <v>4.0275122779894493E-2</v>
          </cell>
          <cell r="G37">
            <v>1.4375491578859137E-4</v>
          </cell>
        </row>
        <row r="38">
          <cell r="E38">
            <v>2.4305450568618988E-2</v>
          </cell>
          <cell r="F38">
            <v>2.2240989009378057E-2</v>
          </cell>
          <cell r="G38">
            <v>1.9327389647250901E-4</v>
          </cell>
          <cell r="L38">
            <v>4.1728153322544911E-2</v>
          </cell>
        </row>
        <row r="39">
          <cell r="C39">
            <v>5.4012454682629565E-2</v>
          </cell>
          <cell r="E39">
            <v>3.1657874740773459E-2</v>
          </cell>
          <cell r="F39">
            <v>4.0878522946332305E-2</v>
          </cell>
          <cell r="G39">
            <v>2.6741741248463818E-4</v>
          </cell>
        </row>
        <row r="40">
          <cell r="E40">
            <v>4.0179308920833288E-2</v>
          </cell>
          <cell r="F40">
            <v>2.5915929113951599E-2</v>
          </cell>
          <cell r="G40">
            <v>3.3882807229071752E-4</v>
          </cell>
        </row>
        <row r="41">
          <cell r="E41">
            <v>4.8487260312629586E-2</v>
          </cell>
          <cell r="F41">
            <v>3.637626212528762E-2</v>
          </cell>
          <cell r="G41">
            <v>4.041894042149174E-4</v>
          </cell>
        </row>
        <row r="42">
          <cell r="E42">
            <v>5.6939898550936743E-2</v>
          </cell>
          <cell r="F42">
            <v>2.2842047348320536E-2</v>
          </cell>
          <cell r="G42">
            <v>9.6126572889288194E-5</v>
          </cell>
        </row>
        <row r="43">
          <cell r="E43">
            <v>6.5382001634235243E-2</v>
          </cell>
          <cell r="F43">
            <v>3.5786983701535963E-2</v>
          </cell>
          <cell r="G43">
            <v>7.9160369566112299E-5</v>
          </cell>
        </row>
        <row r="44">
          <cell r="E44">
            <v>7.3952812976886689E-2</v>
          </cell>
          <cell r="F44">
            <v>2.2471625269569737E-2</v>
          </cell>
          <cell r="G44">
            <v>1.377634145768911E-4</v>
          </cell>
        </row>
        <row r="65">
          <cell r="K65">
            <v>4.1576005432148433</v>
          </cell>
          <cell r="L65">
            <v>3.1862420245183412</v>
          </cell>
          <cell r="M65">
            <v>2.6056088428202466</v>
          </cell>
        </row>
        <row r="66">
          <cell r="B66">
            <v>3.0079519454870631</v>
          </cell>
          <cell r="C66">
            <v>4.015348974760224</v>
          </cell>
          <cell r="D66">
            <v>5.0360814342761229</v>
          </cell>
          <cell r="E66">
            <v>5.8274762868277294</v>
          </cell>
          <cell r="F66">
            <v>6.4073576662790908</v>
          </cell>
          <cell r="G66">
            <v>6.2994960341658803</v>
          </cell>
          <cell r="H66">
            <v>6.0603256205831499</v>
          </cell>
          <cell r="I66">
            <v>5.7379708870962904</v>
          </cell>
          <cell r="J66">
            <v>5.1751070166613751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5.4999999999999997E-3</v>
          </cell>
        </row>
      </sheetData>
      <sheetData sheetId="4">
        <row r="10">
          <cell r="U10">
            <v>0.3</v>
          </cell>
        </row>
        <row r="11">
          <cell r="D11">
            <v>11.277177908806152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5">
        <row r="10">
          <cell r="U10">
            <v>0.3</v>
          </cell>
        </row>
        <row r="11">
          <cell r="D11">
            <v>99.340815579875198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6">
        <row r="10">
          <cell r="U10">
            <v>0.3</v>
          </cell>
        </row>
        <row r="11">
          <cell r="D11">
            <v>185.62870582959113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7">
        <row r="10">
          <cell r="U10">
            <v>0.3</v>
          </cell>
        </row>
        <row r="11">
          <cell r="D11">
            <v>266.3803493750911</v>
          </cell>
          <cell r="O11">
            <v>0.08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8">
        <row r="10">
          <cell r="U10">
            <v>0.30000000000000004</v>
          </cell>
        </row>
        <row r="11">
          <cell r="D11">
            <v>348.72497652425955</v>
          </cell>
          <cell r="O11">
            <v>0.12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9">
        <row r="10">
          <cell r="U10">
            <v>0.30000000000000004</v>
          </cell>
        </row>
        <row r="11">
          <cell r="D11">
            <v>445.42397753599107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133">
          <cell r="O133">
            <v>6.241199358046659E-2</v>
          </cell>
        </row>
        <row r="379">
          <cell r="Q379">
            <v>0.5</v>
          </cell>
        </row>
      </sheetData>
      <sheetData sheetId="10">
        <row r="10">
          <cell r="U10">
            <v>0.30000000000000004</v>
          </cell>
        </row>
        <row r="11">
          <cell r="D11">
            <v>528.21429390097728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1">
        <row r="10">
          <cell r="U10">
            <v>0.30000000000000004</v>
          </cell>
        </row>
        <row r="11">
          <cell r="D11">
            <v>623.14693645385887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2">
        <row r="10">
          <cell r="U10">
            <v>0.3</v>
          </cell>
        </row>
        <row r="11">
          <cell r="D11">
            <v>700.32502099713929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3">
        <row r="10">
          <cell r="U10">
            <v>0.3</v>
          </cell>
        </row>
        <row r="11">
          <cell r="D11">
            <v>796.47403756397216</v>
          </cell>
          <cell r="O11">
            <v>9.0000000000000011E-2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Labège garderi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43259</v>
          </cell>
        </row>
        <row r="5">
          <cell r="C5">
            <v>43301</v>
          </cell>
        </row>
        <row r="11">
          <cell r="C11">
            <v>30.609239625815459</v>
          </cell>
          <cell r="D11">
            <v>6.5772109419627092E-2</v>
          </cell>
        </row>
        <row r="12">
          <cell r="C12">
            <v>253.32286439712462</v>
          </cell>
          <cell r="D12">
            <v>0.25578101805789927</v>
          </cell>
        </row>
        <row r="13">
          <cell r="C13">
            <v>457.78952847373029</v>
          </cell>
          <cell r="D13">
            <v>0.45840007211875244</v>
          </cell>
        </row>
        <row r="14">
          <cell r="C14">
            <v>280.10141859979717</v>
          </cell>
          <cell r="D14">
            <v>0.65631323847225664</v>
          </cell>
          <cell r="H14">
            <v>407.63927244838794</v>
          </cell>
          <cell r="I14">
            <v>-2.4040267854287145E-2</v>
          </cell>
          <cell r="K14">
            <v>44307</v>
          </cell>
        </row>
        <row r="15">
          <cell r="C15">
            <v>471.85430734159564</v>
          </cell>
          <cell r="D15">
            <v>1.0086186289503065</v>
          </cell>
          <cell r="H15">
            <v>386.73051037232443</v>
          </cell>
          <cell r="I15">
            <v>-3.5250962824366794E-2</v>
          </cell>
          <cell r="K15" t="str">
            <v/>
          </cell>
        </row>
        <row r="16">
          <cell r="C16">
            <v>300.59758114897966</v>
          </cell>
          <cell r="D16">
            <v>1.345326818431783</v>
          </cell>
          <cell r="H16">
            <v>509.8149023259366</v>
          </cell>
          <cell r="I16">
            <v>-6.1513973263664923E-2</v>
          </cell>
        </row>
        <row r="17">
          <cell r="C17">
            <v>468.284141479391</v>
          </cell>
          <cell r="D17">
            <v>1.7931995356714305</v>
          </cell>
          <cell r="H17">
            <v>422.26942384406073</v>
          </cell>
          <cell r="I17">
            <v>-6.9462079684137201E-2</v>
          </cell>
        </row>
        <row r="18">
          <cell r="C18">
            <v>288.26934543682796</v>
          </cell>
          <cell r="D18">
            <v>0.52410322121554764</v>
          </cell>
          <cell r="H18">
            <v>493.87653993762865</v>
          </cell>
          <cell r="I18">
            <v>1.7309531358197427</v>
          </cell>
          <cell r="M18">
            <v>945.2130117834115</v>
          </cell>
        </row>
        <row r="19">
          <cell r="C19">
            <v>460.13841736638472</v>
          </cell>
          <cell r="D19">
            <v>0.2379976954451489</v>
          </cell>
          <cell r="H19">
            <v>393.69132976295896</v>
          </cell>
          <cell r="I19">
            <v>2.6104651102257672</v>
          </cell>
        </row>
        <row r="20">
          <cell r="C20">
            <v>283.57036372810734</v>
          </cell>
          <cell r="D20">
            <v>0.44412274339649793</v>
          </cell>
          <cell r="H20">
            <v>481.46196707522375</v>
          </cell>
          <cell r="I20">
            <v>3.0878914847980461</v>
          </cell>
        </row>
        <row r="32">
          <cell r="M32">
            <v>2</v>
          </cell>
          <cell r="N32">
            <v>436.2854295154043</v>
          </cell>
          <cell r="O32">
            <v>4.0665535656428893E-2</v>
          </cell>
        </row>
        <row r="35">
          <cell r="E35">
            <v>2.3084459283426715E-3</v>
          </cell>
          <cell r="F35">
            <v>6.6168115946364887E-3</v>
          </cell>
          <cell r="G35">
            <v>1.4124309609182243E-5</v>
          </cell>
        </row>
        <row r="36">
          <cell r="E36">
            <v>8.3819987309747424E-3</v>
          </cell>
          <cell r="F36">
            <v>2.1318245012230778E-2</v>
          </cell>
          <cell r="G36">
            <v>2.1072123509646572E-5</v>
          </cell>
        </row>
        <row r="37">
          <cell r="E37">
            <v>1.6473918027598417E-2</v>
          </cell>
          <cell r="F37">
            <v>3.9995627830974871E-2</v>
          </cell>
          <cell r="G37">
            <v>3.8484404403528296E-5</v>
          </cell>
        </row>
        <row r="38">
          <cell r="E38">
            <v>2.4718158610383706E-2</v>
          </cell>
          <cell r="F38">
            <v>2.4581160282345516E-2</v>
          </cell>
          <cell r="G38">
            <v>5.6181638145550227E-5</v>
          </cell>
          <cell r="L38">
            <v>5.1744622120926613E-2</v>
          </cell>
        </row>
        <row r="39">
          <cell r="C39">
            <v>5.3668883254387734E-2</v>
          </cell>
          <cell r="E39">
            <v>3.293169673192823E-2</v>
          </cell>
          <cell r="F39">
            <v>4.1274884496331612E-2</v>
          </cell>
          <cell r="G39">
            <v>8.4619993581648337E-5</v>
          </cell>
        </row>
        <row r="40">
          <cell r="E40">
            <v>4.1260640166081552E-2</v>
          </cell>
          <cell r="F40">
            <v>2.5900479991032763E-2</v>
          </cell>
          <cell r="G40">
            <v>1.1287369257796704E-4</v>
          </cell>
        </row>
        <row r="41">
          <cell r="E41">
            <v>4.9588684187032363E-2</v>
          </cell>
          <cell r="F41">
            <v>4.0922005310600626E-2</v>
          </cell>
          <cell r="G41">
            <v>1.5024916106101888E-4</v>
          </cell>
        </row>
        <row r="42">
          <cell r="E42">
            <v>5.8064964472466389E-2</v>
          </cell>
          <cell r="F42">
            <v>2.4818485561223499E-2</v>
          </cell>
          <cell r="G42">
            <v>4.3967970942671872E-5</v>
          </cell>
        </row>
        <row r="43">
          <cell r="E43">
            <v>6.6522890152335146E-2</v>
          </cell>
          <cell r="F43">
            <v>4.0257607275598538E-2</v>
          </cell>
          <cell r="G43">
            <v>1.9965247544740128E-5</v>
          </cell>
        </row>
        <row r="44">
          <cell r="E44">
            <v>7.5118121577415306E-2</v>
          </cell>
          <cell r="F44">
            <v>2.4413318340037089E-2</v>
          </cell>
          <cell r="G44">
            <v>3.7257782420237587E-5</v>
          </cell>
        </row>
        <row r="65">
          <cell r="K65">
            <v>4.0284509488226465</v>
          </cell>
          <cell r="L65">
            <v>3.0766246561287236</v>
          </cell>
          <cell r="M65">
            <v>2.5495610585938944</v>
          </cell>
        </row>
        <row r="66">
          <cell r="B66">
            <v>2.9724836572026359</v>
          </cell>
          <cell r="C66">
            <v>3.9204657795029028</v>
          </cell>
          <cell r="D66">
            <v>4.9823631009634912</v>
          </cell>
          <cell r="E66">
            <v>5.923469087923884</v>
          </cell>
          <cell r="F66">
            <v>6.6928539671262826</v>
          </cell>
          <cell r="G66">
            <v>6.6863739955496833</v>
          </cell>
          <cell r="H66">
            <v>6.3783913921078899</v>
          </cell>
          <cell r="I66">
            <v>5.892612973913697</v>
          </cell>
          <cell r="J66">
            <v>5.1605509962743685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5.0000000000000001E-3</v>
          </cell>
        </row>
      </sheetData>
      <sheetData sheetId="4">
        <row r="10">
          <cell r="U10">
            <v>0.5</v>
          </cell>
        </row>
        <row r="11">
          <cell r="D11">
            <v>10.654230512674076</v>
          </cell>
          <cell r="O11">
            <v>7.0000000000000007E-2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0.5</v>
          </cell>
        </row>
        <row r="11">
          <cell r="D11">
            <v>98.77463814363</v>
          </cell>
          <cell r="O11">
            <v>7.0000000000000007E-2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6">
        <row r="10">
          <cell r="U10">
            <v>0.5</v>
          </cell>
        </row>
        <row r="11">
          <cell r="D11">
            <v>185.50430684100138</v>
          </cell>
          <cell r="O11">
            <v>0.115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7">
        <row r="10">
          <cell r="U10">
            <v>0.5</v>
          </cell>
        </row>
        <row r="11">
          <cell r="D11">
            <v>274.86827197253479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8">
        <row r="10">
          <cell r="U10">
            <v>0.5</v>
          </cell>
        </row>
        <row r="11">
          <cell r="D11">
            <v>364.47232747548878</v>
          </cell>
          <cell r="O11">
            <v>0.1</v>
          </cell>
        </row>
        <row r="12">
          <cell r="L12">
            <v>0</v>
          </cell>
          <cell r="O12">
            <v>730</v>
          </cell>
        </row>
        <row r="379">
          <cell r="Q379">
            <v>0.5</v>
          </cell>
        </row>
      </sheetData>
      <sheetData sheetId="9">
        <row r="10">
          <cell r="U10">
            <v>0.5</v>
          </cell>
        </row>
        <row r="11">
          <cell r="D11">
            <v>459.89022485435817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133">
          <cell r="O133">
            <v>6.1249941231105838E-2</v>
          </cell>
        </row>
        <row r="379">
          <cell r="Q379">
            <v>0.5</v>
          </cell>
        </row>
      </sheetData>
      <sheetData sheetId="10">
        <row r="10">
          <cell r="U10">
            <v>0.5</v>
          </cell>
        </row>
        <row r="11">
          <cell r="D11">
            <v>540.64972692900119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0.5</v>
          </cell>
        </row>
      </sheetData>
      <sheetData sheetId="11">
        <row r="10">
          <cell r="U10">
            <v>0.5</v>
          </cell>
        </row>
        <row r="11">
          <cell r="D11">
            <v>637.41901613398113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0.5</v>
          </cell>
        </row>
      </sheetData>
      <sheetData sheetId="12">
        <row r="10">
          <cell r="U10">
            <v>0.5</v>
          </cell>
        </row>
        <row r="11">
          <cell r="D11">
            <v>712.92109249434907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0.5</v>
          </cell>
        </row>
      </sheetData>
      <sheetData sheetId="13">
        <row r="10">
          <cell r="U10">
            <v>0.5</v>
          </cell>
        </row>
        <row r="11">
          <cell r="D11">
            <v>811.56360613949073</v>
          </cell>
          <cell r="O11">
            <v>0.105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0.5</v>
          </cell>
        </row>
      </sheetData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Labège maternell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43340</v>
          </cell>
        </row>
        <row r="11">
          <cell r="C11">
            <v>33.012472000524284</v>
          </cell>
          <cell r="D11">
            <v>14.510032535976114</v>
          </cell>
        </row>
        <row r="12">
          <cell r="C12">
            <v>575.07137572209467</v>
          </cell>
          <cell r="D12">
            <v>53.007798701651765</v>
          </cell>
        </row>
        <row r="13">
          <cell r="C13">
            <v>992.19515441245949</v>
          </cell>
          <cell r="D13">
            <v>16.873442787422082</v>
          </cell>
        </row>
        <row r="14">
          <cell r="C14">
            <v>617.85034858846996</v>
          </cell>
          <cell r="D14">
            <v>49.682596384895881</v>
          </cell>
          <cell r="H14">
            <v>644.28772157133847</v>
          </cell>
          <cell r="I14">
            <v>83.540651782642328</v>
          </cell>
          <cell r="K14">
            <v>44307</v>
          </cell>
        </row>
        <row r="15">
          <cell r="C15">
            <v>1046.2670328009367</v>
          </cell>
          <cell r="D15">
            <v>18.863807461834444</v>
          </cell>
          <cell r="H15">
            <v>495.28300504935737</v>
          </cell>
          <cell r="I15">
            <v>64.954744971390653</v>
          </cell>
          <cell r="K15" t="str">
            <v/>
          </cell>
        </row>
        <row r="16">
          <cell r="C16">
            <v>621.88754601130756</v>
          </cell>
          <cell r="D16">
            <v>48.190810496156345</v>
          </cell>
          <cell r="H16">
            <v>837.12748743650934</v>
          </cell>
          <cell r="I16">
            <v>77.254088026220103</v>
          </cell>
        </row>
        <row r="17">
          <cell r="C17">
            <v>910.76035018812706</v>
          </cell>
          <cell r="D17">
            <v>85.441556063095874</v>
          </cell>
          <cell r="H17">
            <v>634.25868243861294</v>
          </cell>
          <cell r="I17">
            <v>86.471626157618658</v>
          </cell>
        </row>
        <row r="18">
          <cell r="C18">
            <v>575.06993969549376</v>
          </cell>
          <cell r="D18">
            <v>135.35183368463075</v>
          </cell>
          <cell r="H18">
            <v>779.6025779412239</v>
          </cell>
          <cell r="I18">
            <v>93.681703688589323</v>
          </cell>
          <cell r="M18">
            <v>1506.9142691459615</v>
          </cell>
        </row>
        <row r="19">
          <cell r="C19">
            <v>879.50440024468912</v>
          </cell>
          <cell r="D19">
            <v>181.04732945505614</v>
          </cell>
          <cell r="H19">
            <v>552.54126076551051</v>
          </cell>
          <cell r="I19">
            <v>100.50880149183476</v>
          </cell>
        </row>
        <row r="20">
          <cell r="C20">
            <v>554.10633121209855</v>
          </cell>
          <cell r="D20">
            <v>245.28512469173944</v>
          </cell>
          <cell r="H20">
            <v>740.15203549580713</v>
          </cell>
          <cell r="I20">
            <v>99.052325658679365</v>
          </cell>
        </row>
        <row r="32">
          <cell r="M32">
            <v>2</v>
          </cell>
          <cell r="N32">
            <v>644.66899384178487</v>
          </cell>
          <cell r="O32">
            <v>7.3522261382149887E-2</v>
          </cell>
        </row>
        <row r="35">
          <cell r="E35">
            <v>1.6458224044681514E-3</v>
          </cell>
          <cell r="F35">
            <v>1.3078589487783501E-2</v>
          </cell>
          <cell r="G35">
            <v>5.6741248073261946E-3</v>
          </cell>
        </row>
        <row r="36">
          <cell r="E36">
            <v>7.6073903967093714E-3</v>
          </cell>
          <cell r="F36">
            <v>5.469328384139921E-2</v>
          </cell>
          <cell r="G36">
            <v>4.7780923933976498E-3</v>
          </cell>
        </row>
        <row r="37">
          <cell r="E37">
            <v>1.9897094110880215E-2</v>
          </cell>
          <cell r="F37">
            <v>9.9958663397224992E-2</v>
          </cell>
          <cell r="G37">
            <v>1.5426454339860583E-3</v>
          </cell>
        </row>
        <row r="38">
          <cell r="E38">
            <v>3.6751097312847009E-2</v>
          </cell>
          <cell r="F38">
            <v>6.1424257065985741E-2</v>
          </cell>
          <cell r="G38">
            <v>4.6435403792517167E-3</v>
          </cell>
          <cell r="L38">
            <v>9.5363472841258151E-2</v>
          </cell>
        </row>
        <row r="39">
          <cell r="C39">
            <v>0.12183848892664172</v>
          </cell>
          <cell r="E39">
            <v>5.0450141408478283E-2</v>
          </cell>
          <cell r="F39">
            <v>0.10814025260464089</v>
          </cell>
          <cell r="G39">
            <v>1.7508403757723176E-3</v>
          </cell>
        </row>
        <row r="40">
          <cell r="E40">
            <v>6.5973910065410965E-2</v>
          </cell>
          <cell r="F40">
            <v>6.1786483721471601E-2</v>
          </cell>
          <cell r="G40">
            <v>4.4920497168881874E-3</v>
          </cell>
        </row>
        <row r="41">
          <cell r="E41">
            <v>7.5196995278701467E-2</v>
          </cell>
          <cell r="F41">
            <v>9.3928780168191811E-2</v>
          </cell>
          <cell r="G41">
            <v>8.0034931115176722E-3</v>
          </cell>
        </row>
        <row r="42">
          <cell r="E42">
            <v>8.4665149000789558E-2</v>
          </cell>
          <cell r="F42">
            <v>5.7730037587451377E-2</v>
          </cell>
          <cell r="G42">
            <v>1.2786987697968375E-2</v>
          </cell>
        </row>
        <row r="43">
          <cell r="E43">
            <v>9.4056723645301196E-2</v>
          </cell>
          <cell r="F43">
            <v>9.2243095076730952E-2</v>
          </cell>
          <cell r="G43">
            <v>1.7247753462244782E-2</v>
          </cell>
        </row>
        <row r="44">
          <cell r="E44">
            <v>0.10367432368749217</v>
          </cell>
          <cell r="F44">
            <v>5.6618173077891722E-2</v>
          </cell>
          <cell r="G44">
            <v>2.3589020456647663E-2</v>
          </cell>
        </row>
        <row r="65">
          <cell r="K65">
            <v>2.8055254303951545</v>
          </cell>
          <cell r="L65">
            <v>1.9109236326236418</v>
          </cell>
          <cell r="M65">
            <v>1.5956184462332559</v>
          </cell>
        </row>
        <row r="66">
          <cell r="B66">
            <v>1.9693259492147186</v>
          </cell>
          <cell r="C66">
            <v>2.7669891922939223</v>
          </cell>
          <cell r="D66">
            <v>3.8661658176708156</v>
          </cell>
          <cell r="E66">
            <v>4.9788671139322647</v>
          </cell>
          <cell r="F66">
            <v>6.2308252995541515</v>
          </cell>
          <cell r="G66">
            <v>6.250164322940174</v>
          </cell>
          <cell r="H66">
            <v>5.9010201391945856</v>
          </cell>
          <cell r="I66">
            <v>5.2533506630855822</v>
          </cell>
          <cell r="J66">
            <v>4.1831615163975533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1.7999999999999999E-2</v>
          </cell>
        </row>
      </sheetData>
      <sheetData sheetId="4">
        <row r="10">
          <cell r="U10">
            <v>0.6</v>
          </cell>
        </row>
        <row r="11">
          <cell r="D11">
            <v>4.1474955007734025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0.8</v>
          </cell>
        </row>
      </sheetData>
      <sheetData sheetId="5">
        <row r="10">
          <cell r="U10">
            <v>0.6</v>
          </cell>
        </row>
        <row r="11">
          <cell r="D11">
            <v>79.38384149174999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0.8</v>
          </cell>
        </row>
      </sheetData>
      <sheetData sheetId="6">
        <row r="10">
          <cell r="U10">
            <v>0.6</v>
          </cell>
        </row>
        <row r="11">
          <cell r="D11">
            <v>193.6466379014837</v>
          </cell>
          <cell r="O11">
            <v>0.17</v>
          </cell>
        </row>
        <row r="12">
          <cell r="L12">
            <v>1.1111111111111112E-2</v>
          </cell>
          <cell r="O12">
            <v>912.5</v>
          </cell>
        </row>
        <row r="379">
          <cell r="Q379">
            <v>0.8</v>
          </cell>
        </row>
      </sheetData>
      <sheetData sheetId="7">
        <row r="10">
          <cell r="U10">
            <v>0.60000000000000009</v>
          </cell>
        </row>
        <row r="11">
          <cell r="D11">
            <v>356.56539381578477</v>
          </cell>
          <cell r="O11">
            <v>0.2</v>
          </cell>
        </row>
        <row r="12">
          <cell r="L12">
            <v>1.1111111111111112E-2</v>
          </cell>
          <cell r="O12">
            <v>730</v>
          </cell>
        </row>
        <row r="379">
          <cell r="Q379">
            <v>0.8</v>
          </cell>
        </row>
      </sheetData>
      <sheetData sheetId="8">
        <row r="10">
          <cell r="U10">
            <v>0.60000000000000009</v>
          </cell>
        </row>
        <row r="11">
          <cell r="D11">
            <v>464.66729413232497</v>
          </cell>
          <cell r="O11">
            <v>0.17</v>
          </cell>
        </row>
        <row r="12">
          <cell r="L12">
            <v>2.1111111111111112E-2</v>
          </cell>
          <cell r="O12">
            <v>510.99999999999994</v>
          </cell>
        </row>
        <row r="379">
          <cell r="Q379">
            <v>0.8</v>
          </cell>
        </row>
      </sheetData>
      <sheetData sheetId="9">
        <row r="10">
          <cell r="U10">
            <v>0.6</v>
          </cell>
        </row>
        <row r="11">
          <cell r="D11">
            <v>622.93685833643576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133">
          <cell r="O133">
            <v>0.13317606880789065</v>
          </cell>
        </row>
        <row r="379">
          <cell r="Q379">
            <v>0.8</v>
          </cell>
        </row>
      </sheetData>
      <sheetData sheetId="10">
        <row r="10">
          <cell r="U10">
            <v>0.60000000000000009</v>
          </cell>
        </row>
        <row r="11">
          <cell r="D11">
            <v>678.13768362556948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379">
          <cell r="Q379">
            <v>0.8</v>
          </cell>
        </row>
      </sheetData>
      <sheetData sheetId="11">
        <row r="10">
          <cell r="U10">
            <v>0.60000000000000009</v>
          </cell>
        </row>
        <row r="11">
          <cell r="D11">
            <v>777.54908941006215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379">
          <cell r="Q379">
            <v>0.8</v>
          </cell>
        </row>
      </sheetData>
      <sheetData sheetId="12">
        <row r="10">
          <cell r="U10">
            <v>0.60000000000000009</v>
          </cell>
        </row>
        <row r="11">
          <cell r="D11">
            <v>819.69853151542702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379">
          <cell r="Q379">
            <v>0.8</v>
          </cell>
        </row>
      </sheetData>
      <sheetData sheetId="13">
        <row r="10">
          <cell r="U10">
            <v>0.60000000000000009</v>
          </cell>
        </row>
        <row r="11">
          <cell r="D11">
            <v>919.3217447480838</v>
          </cell>
          <cell r="O11">
            <v>0.18000000000000002</v>
          </cell>
        </row>
        <row r="12">
          <cell r="L12">
            <v>2.1111111111111112E-2</v>
          </cell>
          <cell r="O12">
            <v>717.83333333333337</v>
          </cell>
        </row>
        <row r="379">
          <cell r="Q379">
            <v>0.8</v>
          </cell>
        </row>
      </sheetData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Escalquens crêch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43354</v>
          </cell>
        </row>
        <row r="11">
          <cell r="C11">
            <v>24.420032290291541</v>
          </cell>
          <cell r="D11">
            <v>0.29159888076333462</v>
          </cell>
        </row>
        <row r="12">
          <cell r="C12">
            <v>601.13820574501779</v>
          </cell>
          <cell r="D12">
            <v>1.617449027860302</v>
          </cell>
        </row>
        <row r="13">
          <cell r="C13">
            <v>1052.335449772987</v>
          </cell>
          <cell r="D13">
            <v>2.7814559108141137</v>
          </cell>
        </row>
        <row r="14">
          <cell r="C14">
            <v>618.6689035315336</v>
          </cell>
          <cell r="D14">
            <v>4.2146380529732044</v>
          </cell>
          <cell r="H14">
            <v>715.47833690747836</v>
          </cell>
          <cell r="I14">
            <v>-0.29237109502494407</v>
          </cell>
          <cell r="K14">
            <v>44306</v>
          </cell>
        </row>
        <row r="15">
          <cell r="C15">
            <v>983.35663543557212</v>
          </cell>
          <cell r="D15">
            <v>5.7501134260136242</v>
          </cell>
          <cell r="H15">
            <v>691.52360911592677</v>
          </cell>
          <cell r="I15">
            <v>-0.38478662776655437</v>
          </cell>
          <cell r="K15" t="str">
            <v/>
          </cell>
        </row>
        <row r="16">
          <cell r="C16">
            <v>604.89599936696141</v>
          </cell>
          <cell r="D16">
            <v>7.7384946359798352</v>
          </cell>
          <cell r="H16">
            <v>867.02300137865814</v>
          </cell>
          <cell r="I16">
            <v>-0.62841110070756478</v>
          </cell>
        </row>
        <row r="17">
          <cell r="C17">
            <v>909.96438741406189</v>
          </cell>
          <cell r="D17">
            <v>9.3964165314971098</v>
          </cell>
          <cell r="H17">
            <v>680.21769114161123</v>
          </cell>
          <cell r="I17">
            <v>-0.62159368097191425</v>
          </cell>
        </row>
        <row r="18">
          <cell r="C18">
            <v>586.82238118868793</v>
          </cell>
          <cell r="D18">
            <v>3.6819306491189931</v>
          </cell>
          <cell r="H18">
            <v>831.878703259492</v>
          </cell>
          <cell r="I18">
            <v>7.2757474834586517</v>
          </cell>
          <cell r="M18">
            <v>1544.4369036053581</v>
          </cell>
        </row>
        <row r="19">
          <cell r="C19">
            <v>894.34241945902329</v>
          </cell>
          <cell r="D19">
            <v>1.5017363144303828</v>
          </cell>
          <cell r="H19">
            <v>648.82151509809466</v>
          </cell>
          <cell r="I19">
            <v>11.377904776384064</v>
          </cell>
        </row>
        <row r="20">
          <cell r="C20">
            <v>576.97667071626347</v>
          </cell>
          <cell r="D20">
            <v>2.7614176434725528</v>
          </cell>
          <cell r="H20">
            <v>813.14494515155161</v>
          </cell>
          <cell r="I20">
            <v>12.772468662001872</v>
          </cell>
        </row>
        <row r="32">
          <cell r="M32">
            <v>2</v>
          </cell>
          <cell r="N32">
            <v>708.65665682370093</v>
          </cell>
          <cell r="O32">
            <v>7.1517192646279357E-2</v>
          </cell>
        </row>
        <row r="35">
          <cell r="E35">
            <v>2.2574174806909626E-3</v>
          </cell>
          <cell r="F35">
            <v>1.7658570172236029E-2</v>
          </cell>
          <cell r="G35">
            <v>2.0719346269517224E-4</v>
          </cell>
        </row>
        <row r="36">
          <cell r="E36">
            <v>7.6340505023062251E-3</v>
          </cell>
          <cell r="F36">
            <v>5.4861483830057303E-2</v>
          </cell>
          <cell r="G36">
            <v>1.3988011857535033E-4</v>
          </cell>
        </row>
        <row r="37">
          <cell r="E37">
            <v>1.6222190251212267E-2</v>
          </cell>
          <cell r="F37">
            <v>0.10048154472285574</v>
          </cell>
          <cell r="G37">
            <v>2.4097873419266335E-4</v>
          </cell>
        </row>
        <row r="38">
          <cell r="E38">
            <v>2.4984557883716511E-2</v>
          </cell>
          <cell r="F38">
            <v>5.8568994388270339E-2</v>
          </cell>
          <cell r="G38">
            <v>3.7640090516053489E-4</v>
          </cell>
          <cell r="L38">
            <v>9.5265982743073477E-2</v>
          </cell>
        </row>
        <row r="39">
          <cell r="C39">
            <v>0.10212546462124136</v>
          </cell>
          <cell r="E39">
            <v>3.3332076055731241E-2</v>
          </cell>
          <cell r="F39">
            <v>9.150835972314636E-2</v>
          </cell>
          <cell r="G39">
            <v>4.8886297070358637E-4</v>
          </cell>
        </row>
        <row r="40">
          <cell r="E40">
            <v>4.2598967894520709E-2</v>
          </cell>
          <cell r="F40">
            <v>5.4354750865333534E-2</v>
          </cell>
          <cell r="G40">
            <v>6.5807261814009195E-4</v>
          </cell>
        </row>
        <row r="41">
          <cell r="E41">
            <v>5.1435967524846762E-2</v>
          </cell>
          <cell r="F41">
            <v>8.4153423024671603E-2</v>
          </cell>
          <cell r="G41">
            <v>7.9834098280509884E-4</v>
          </cell>
        </row>
        <row r="42">
          <cell r="E42">
            <v>6.0486701072005357E-2</v>
          </cell>
          <cell r="F42">
            <v>5.2662077318016996E-2</v>
          </cell>
          <cell r="G42">
            <v>3.1294336845684651E-4</v>
          </cell>
        </row>
        <row r="43">
          <cell r="E43">
            <v>6.9470747893613682E-2</v>
          </cell>
          <cell r="F43">
            <v>8.2713473070339952E-2</v>
          </cell>
          <cell r="G43">
            <v>1.2760091230706926E-4</v>
          </cell>
        </row>
        <row r="44">
          <cell r="E44">
            <v>7.865495901438925E-2</v>
          </cell>
          <cell r="F44">
            <v>5.177160153529043E-2</v>
          </cell>
          <cell r="G44">
            <v>2.3467445131842391E-4</v>
          </cell>
        </row>
        <row r="65">
          <cell r="K65">
            <v>3.2992679094897639</v>
          </cell>
          <cell r="L65">
            <v>2.3108184040330242</v>
          </cell>
          <cell r="M65">
            <v>1.8641624189385739</v>
          </cell>
        </row>
        <row r="66">
          <cell r="B66">
            <v>2.1640662548622478</v>
          </cell>
          <cell r="C66">
            <v>3.0349251305785767</v>
          </cell>
          <cell r="D66">
            <v>4.2233426959218461</v>
          </cell>
          <cell r="E66">
            <v>5.4116298001518039</v>
          </cell>
          <cell r="F66">
            <v>6.5837616857892094</v>
          </cell>
          <cell r="G66">
            <v>6.6349355777214116</v>
          </cell>
          <cell r="H66">
            <v>6.3644414240358724</v>
          </cell>
          <cell r="I66">
            <v>5.7437053380743546</v>
          </cell>
          <cell r="J66">
            <v>4.7180758108455034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1.7999999999999999E-2</v>
          </cell>
        </row>
      </sheetData>
      <sheetData sheetId="4">
        <row r="10">
          <cell r="U10">
            <v>0.40000000000000013</v>
          </cell>
        </row>
        <row r="11">
          <cell r="D11">
            <v>3.1147507785951802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5">
        <row r="10">
          <cell r="U10">
            <v>0.40000000000000013</v>
          </cell>
        </row>
        <row r="11">
          <cell r="D11">
            <v>83.01545922456171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6">
        <row r="10">
          <cell r="U10">
            <v>0.40000000000000013</v>
          </cell>
        </row>
        <row r="11">
          <cell r="D11">
            <v>167.18169118171863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7">
        <row r="10">
          <cell r="U10">
            <v>0.40000000000000013</v>
          </cell>
        </row>
        <row r="11">
          <cell r="D11">
            <v>257.48080975731318</v>
          </cell>
          <cell r="O11">
            <v>0.2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8">
        <row r="10">
          <cell r="U10">
            <v>0.40000000000000013</v>
          </cell>
        </row>
        <row r="11">
          <cell r="D11">
            <v>346.63525833777385</v>
          </cell>
          <cell r="O11">
            <v>0.18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9">
        <row r="10">
          <cell r="U10">
            <v>0.40000000000000008</v>
          </cell>
        </row>
        <row r="11">
          <cell r="D11">
            <v>454.70003642793927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133">
          <cell r="O133">
            <v>0.11276994136905134</v>
          </cell>
        </row>
        <row r="379">
          <cell r="Q379">
            <v>0.7</v>
          </cell>
        </row>
      </sheetData>
      <sheetData sheetId="10">
        <row r="10">
          <cell r="U10">
            <v>0.39999999999999991</v>
          </cell>
        </row>
        <row r="11">
          <cell r="D11">
            <v>528.97688413552351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1">
        <row r="10">
          <cell r="U10">
            <v>0.39999999999999991</v>
          </cell>
        </row>
        <row r="11">
          <cell r="D11">
            <v>635.56994961512282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2">
        <row r="10">
          <cell r="U10">
            <v>0.4</v>
          </cell>
        </row>
        <row r="11">
          <cell r="D11">
            <v>702.36140254736893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3">
        <row r="10">
          <cell r="U10">
            <v>0.4</v>
          </cell>
        </row>
        <row r="11">
          <cell r="D11">
            <v>812.66249672611411</v>
          </cell>
          <cell r="O11">
            <v>0.18333333333333335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yguesvives crêche v4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43354</v>
          </cell>
        </row>
        <row r="11">
          <cell r="C11">
            <v>30.552063883907749</v>
          </cell>
          <cell r="D11">
            <v>4.7353371617019926</v>
          </cell>
        </row>
        <row r="12">
          <cell r="C12">
            <v>767.13225606728577</v>
          </cell>
          <cell r="D12">
            <v>20.962438019564079</v>
          </cell>
        </row>
        <row r="13">
          <cell r="C13">
            <v>1278.2745582991847</v>
          </cell>
          <cell r="D13">
            <v>42.716885176540714</v>
          </cell>
        </row>
        <row r="14">
          <cell r="C14">
            <v>877.12569765304715</v>
          </cell>
          <cell r="D14">
            <v>70.870907418280993</v>
          </cell>
          <cell r="H14">
            <v>635.44106915727116</v>
          </cell>
          <cell r="I14">
            <v>-4.5560801234965567</v>
          </cell>
          <cell r="K14">
            <v>44306</v>
          </cell>
        </row>
        <row r="15">
          <cell r="C15">
            <v>1409.4394233069897</v>
          </cell>
          <cell r="D15">
            <v>110.83408688654788</v>
          </cell>
          <cell r="H15">
            <v>374.03532286829932</v>
          </cell>
          <cell r="I15">
            <v>-4.291747278890341</v>
          </cell>
          <cell r="K15">
            <v>44854</v>
          </cell>
        </row>
        <row r="16">
          <cell r="C16">
            <v>575.68319431568693</v>
          </cell>
          <cell r="D16">
            <v>167.47347286237272</v>
          </cell>
          <cell r="H16">
            <v>550.62414804972082</v>
          </cell>
          <cell r="I16">
            <v>-8.8586178629167875</v>
          </cell>
        </row>
        <row r="17">
          <cell r="C17">
            <v>1219.6461589622547</v>
          </cell>
          <cell r="D17">
            <v>207.06183496216491</v>
          </cell>
          <cell r="H17">
            <v>190.82448388793568</v>
          </cell>
          <cell r="I17">
            <v>-4.1140336478168251</v>
          </cell>
        </row>
        <row r="18">
          <cell r="C18">
            <v>791.30247655063465</v>
          </cell>
          <cell r="D18">
            <v>104.04098824862199</v>
          </cell>
          <cell r="H18">
            <v>825.78179150886706</v>
          </cell>
          <cell r="I18">
            <v>151.89012142728001</v>
          </cell>
          <cell r="M18">
            <v>491.1184143524066</v>
          </cell>
        </row>
        <row r="19">
          <cell r="C19">
            <v>1232.1892462234857</v>
          </cell>
          <cell r="D19">
            <v>21.050438043960295</v>
          </cell>
          <cell r="H19">
            <v>524.8616702460572</v>
          </cell>
          <cell r="I19">
            <v>289.93111276715723</v>
          </cell>
        </row>
        <row r="20">
          <cell r="C20">
            <v>791.31026188099145</v>
          </cell>
          <cell r="D20">
            <v>44.224669070241902</v>
          </cell>
          <cell r="H20">
            <v>832.33323924309138</v>
          </cell>
          <cell r="I20">
            <v>331.37415622309891</v>
          </cell>
        </row>
        <row r="32">
          <cell r="M32">
            <v>2</v>
          </cell>
          <cell r="N32">
            <v>687.01292231618118</v>
          </cell>
          <cell r="O32">
            <v>6.8782071995057814E-2</v>
          </cell>
        </row>
        <row r="35">
          <cell r="E35">
            <v>2.2617185136911489E-3</v>
          </cell>
          <cell r="F35">
            <v>2.2338239950172905E-2</v>
          </cell>
          <cell r="G35">
            <v>3.3864388474925816E-3</v>
          </cell>
        </row>
        <row r="36">
          <cell r="E36">
            <v>7.610457035857404E-3</v>
          </cell>
          <cell r="F36">
            <v>7.0713003173555944E-2</v>
          </cell>
          <cell r="G36">
            <v>1.8037632055679191E-3</v>
          </cell>
        </row>
        <row r="37">
          <cell r="E37">
            <v>1.6190377660076076E-2</v>
          </cell>
          <cell r="F37">
            <v>0.12771989740558692</v>
          </cell>
          <cell r="G37">
            <v>3.7777841407905031E-3</v>
          </cell>
        </row>
        <row r="38">
          <cell r="E38">
            <v>2.4963679292763781E-2</v>
          </cell>
          <cell r="F38">
            <v>8.6628355225119927E-2</v>
          </cell>
          <cell r="G38">
            <v>6.4286789525572511E-3</v>
          </cell>
          <cell r="L38">
            <v>0.10287433262255685</v>
          </cell>
        </row>
        <row r="39">
          <cell r="C39">
            <v>3.9843868227822786E-2</v>
          </cell>
          <cell r="E39">
            <v>3.3335860331915448E-2</v>
          </cell>
          <cell r="F39">
            <v>0.13972581590977767</v>
          </cell>
          <cell r="G39">
            <v>9.6013416817634055E-3</v>
          </cell>
        </row>
        <row r="40">
          <cell r="E40">
            <v>4.250842953364211E-2</v>
          </cell>
          <cell r="F40">
            <v>5.2996370830087743E-2</v>
          </cell>
          <cell r="G40">
            <v>1.4610113461197959E-2</v>
          </cell>
        </row>
        <row r="41">
          <cell r="E41">
            <v>5.138863904733347E-2</v>
          </cell>
          <cell r="F41">
            <v>0.12075271244722492</v>
          </cell>
          <cell r="G41">
            <v>1.8190949095962177E-2</v>
          </cell>
        </row>
        <row r="42">
          <cell r="E42">
            <v>6.0519072603330039E-2</v>
          </cell>
          <cell r="F42">
            <v>7.3735246552202399E-2</v>
          </cell>
          <cell r="G42">
            <v>8.9916357541549117E-3</v>
          </cell>
        </row>
        <row r="43">
          <cell r="E43">
            <v>6.9443167924320454E-2</v>
          </cell>
          <cell r="F43">
            <v>0.11865727350124002</v>
          </cell>
          <cell r="G43">
            <v>1.7988451702930979E-3</v>
          </cell>
        </row>
        <row r="44">
          <cell r="E44">
            <v>7.8635802664892229E-2</v>
          </cell>
          <cell r="F44">
            <v>7.320346466236112E-2</v>
          </cell>
          <cell r="G44">
            <v>3.7917887615918958E-3</v>
          </cell>
        </row>
        <row r="65">
          <cell r="K65">
            <v>3.079205705209795</v>
          </cell>
          <cell r="L65">
            <v>2.206865027402273</v>
          </cell>
          <cell r="M65">
            <v>1.6737668030689588</v>
          </cell>
        </row>
        <row r="66">
          <cell r="B66">
            <v>2.0560177829521002</v>
          </cell>
          <cell r="C66">
            <v>3.0876849432255482</v>
          </cell>
          <cell r="D66">
            <v>4.4499727349856686</v>
          </cell>
          <cell r="E66">
            <v>5.7102032925514168</v>
          </cell>
          <cell r="F66">
            <v>6.5924048345790736</v>
          </cell>
          <cell r="G66">
            <v>6.6234421799249459</v>
          </cell>
          <cell r="H66">
            <v>6.3009796636959825</v>
          </cell>
          <cell r="I66">
            <v>5.6503923683250328</v>
          </cell>
          <cell r="J66">
            <v>4.563638572145992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2.5000000000000001E-2</v>
          </cell>
        </row>
      </sheetData>
      <sheetData sheetId="4">
        <row r="10">
          <cell r="U10">
            <v>0.70000000000000018</v>
          </cell>
        </row>
        <row r="11">
          <cell r="D11">
            <v>3.0863772712791615</v>
          </cell>
          <cell r="O11">
            <v>0.21</v>
          </cell>
        </row>
        <row r="12">
          <cell r="L12">
            <v>0</v>
          </cell>
          <cell r="O12">
            <v>912.5</v>
          </cell>
        </row>
        <row r="379">
          <cell r="Q379">
            <v>1</v>
          </cell>
        </row>
      </sheetData>
      <sheetData sheetId="5">
        <row r="10">
          <cell r="U10">
            <v>0.70000000000000018</v>
          </cell>
        </row>
        <row r="11">
          <cell r="D11">
            <v>81.938693449063067</v>
          </cell>
          <cell r="O11">
            <v>0.21</v>
          </cell>
        </row>
        <row r="12">
          <cell r="L12">
            <v>0</v>
          </cell>
          <cell r="O12">
            <v>912.5</v>
          </cell>
        </row>
        <row r="379">
          <cell r="Q379">
            <v>1</v>
          </cell>
        </row>
      </sheetData>
      <sheetData sheetId="6">
        <row r="10">
          <cell r="U10">
            <v>0.70000000000000018</v>
          </cell>
        </row>
        <row r="11">
          <cell r="D11">
            <v>159.45843053011595</v>
          </cell>
          <cell r="O11">
            <v>0.14000000000000001</v>
          </cell>
        </row>
        <row r="12">
          <cell r="L12">
            <v>0</v>
          </cell>
          <cell r="O12">
            <v>365</v>
          </cell>
        </row>
        <row r="379">
          <cell r="Q379">
            <v>1</v>
          </cell>
        </row>
      </sheetData>
      <sheetData sheetId="7">
        <row r="10">
          <cell r="U10">
            <v>0.70000000000000018</v>
          </cell>
        </row>
        <row r="11">
          <cell r="D11">
            <v>246.60500400489036</v>
          </cell>
          <cell r="O11">
            <v>0.16</v>
          </cell>
        </row>
        <row r="12">
          <cell r="L12">
            <v>0</v>
          </cell>
          <cell r="O12">
            <v>292</v>
          </cell>
        </row>
        <row r="379">
          <cell r="Q379">
            <v>1</v>
          </cell>
        </row>
      </sheetData>
      <sheetData sheetId="8">
        <row r="10">
          <cell r="U10">
            <v>0.70000000000000018</v>
          </cell>
        </row>
        <row r="11">
          <cell r="D11">
            <v>325.41676796126012</v>
          </cell>
          <cell r="O11">
            <v>0.22</v>
          </cell>
        </row>
        <row r="12">
          <cell r="L12">
            <v>0</v>
          </cell>
          <cell r="O12">
            <v>912.5</v>
          </cell>
        </row>
        <row r="379">
          <cell r="Q379">
            <v>1</v>
          </cell>
        </row>
      </sheetData>
      <sheetData sheetId="9">
        <row r="10">
          <cell r="U10">
            <v>0.70000000000000029</v>
          </cell>
        </row>
        <row r="11">
          <cell r="D11">
            <v>442.92776625943588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133">
          <cell r="O133">
            <v>6.3133338722171847E-2</v>
          </cell>
        </row>
        <row r="379">
          <cell r="Q379">
            <v>1</v>
          </cell>
        </row>
      </sheetData>
      <sheetData sheetId="10">
        <row r="10">
          <cell r="U10">
            <v>0.69999999999999973</v>
          </cell>
        </row>
        <row r="11">
          <cell r="D11">
            <v>493.67461221479607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379">
          <cell r="Q379">
            <v>1</v>
          </cell>
        </row>
      </sheetData>
      <sheetData sheetId="11">
        <row r="10">
          <cell r="U10">
            <v>0.69999999999999973</v>
          </cell>
        </row>
        <row r="11">
          <cell r="D11">
            <v>612.4084424153134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379">
          <cell r="Q379">
            <v>1</v>
          </cell>
        </row>
      </sheetData>
      <sheetData sheetId="12">
        <row r="10">
          <cell r="U10">
            <v>0.7</v>
          </cell>
        </row>
        <row r="11">
          <cell r="D11">
            <v>674.30264560448632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379">
          <cell r="Q379">
            <v>1</v>
          </cell>
        </row>
      </sheetData>
      <sheetData sheetId="13">
        <row r="10">
          <cell r="U10">
            <v>0.7</v>
          </cell>
        </row>
        <row r="11">
          <cell r="D11">
            <v>788.06248544614027</v>
          </cell>
          <cell r="O11">
            <v>0.17333333333333334</v>
          </cell>
        </row>
        <row r="12">
          <cell r="L12">
            <v>0</v>
          </cell>
          <cell r="O12">
            <v>523.16666666666663</v>
          </cell>
        </row>
        <row r="379">
          <cell r="Q379">
            <v>1</v>
          </cell>
        </row>
      </sheetData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Noueilles SdF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43475</v>
          </cell>
        </row>
        <row r="5">
          <cell r="C5">
            <v>43522</v>
          </cell>
        </row>
        <row r="11">
          <cell r="C11">
            <v>129.71298858848573</v>
          </cell>
          <cell r="D11">
            <v>3.2119337313975511</v>
          </cell>
        </row>
        <row r="12">
          <cell r="C12">
            <v>366.89761327029095</v>
          </cell>
          <cell r="D12">
            <v>13.216261839278481</v>
          </cell>
        </row>
        <row r="13">
          <cell r="C13">
            <v>521.02846258409818</v>
          </cell>
          <cell r="D13">
            <v>21.123916244870063</v>
          </cell>
          <cell r="K13" t="str">
            <v/>
          </cell>
        </row>
        <row r="14">
          <cell r="C14">
            <v>354.46051124708316</v>
          </cell>
          <cell r="D14">
            <v>38.290188669361342</v>
          </cell>
          <cell r="H14">
            <v>633.22426340792936</v>
          </cell>
          <cell r="I14">
            <v>0.17860601135433996</v>
          </cell>
          <cell r="K14">
            <v>44683</v>
          </cell>
        </row>
        <row r="15">
          <cell r="C15">
            <v>218.03460561907795</v>
          </cell>
          <cell r="D15">
            <v>55.428089737096585</v>
          </cell>
          <cell r="H15">
            <v>323.1504031080409</v>
          </cell>
          <cell r="I15">
            <v>1.1547476358521536</v>
          </cell>
        </row>
        <row r="16">
          <cell r="C16">
            <v>500.73912321903481</v>
          </cell>
          <cell r="D16">
            <v>72.220392957218166</v>
          </cell>
          <cell r="H16">
            <v>129.5170918236015</v>
          </cell>
          <cell r="I16">
            <v>2.5812891357517458</v>
          </cell>
        </row>
        <row r="17">
          <cell r="C17">
            <v>316.03396228999594</v>
          </cell>
          <cell r="D17">
            <v>95.272260425764657</v>
          </cell>
          <cell r="H17">
            <v>428.70205468710157</v>
          </cell>
          <cell r="I17">
            <v>0.23767508376685953</v>
          </cell>
          <cell r="M17">
            <v>295.51160612421228</v>
          </cell>
        </row>
        <row r="18">
          <cell r="C18">
            <v>495.76342513423862</v>
          </cell>
          <cell r="D18">
            <v>41.460311811057494</v>
          </cell>
          <cell r="H18">
            <v>365.80316152224435</v>
          </cell>
          <cell r="I18">
            <v>74.158758690165115</v>
          </cell>
        </row>
        <row r="19">
          <cell r="C19">
            <v>315.89404861737705</v>
          </cell>
          <cell r="D19">
            <v>14.240951101611307</v>
          </cell>
          <cell r="H19">
            <v>463.31533831056186</v>
          </cell>
          <cell r="I19">
            <v>128.42458774110102</v>
          </cell>
        </row>
        <row r="20">
          <cell r="H20">
            <v>356.00670789473099</v>
          </cell>
        </row>
        <row r="32">
          <cell r="M32">
            <v>2</v>
          </cell>
          <cell r="N32">
            <v>413.72533230184501</v>
          </cell>
          <cell r="O32">
            <v>3.7198431985913834E-2</v>
          </cell>
        </row>
        <row r="35">
          <cell r="E35">
            <v>3.5596165102353854E-3</v>
          </cell>
          <cell r="F35">
            <v>1.2866445097281678E-2</v>
          </cell>
          <cell r="G35">
            <v>3.1453563875371454E-4</v>
          </cell>
        </row>
        <row r="36">
          <cell r="E36">
            <v>1.0208704922166845E-2</v>
          </cell>
          <cell r="F36">
            <v>3.2107379766274258E-2</v>
          </cell>
          <cell r="G36">
            <v>1.1202264653585653E-3</v>
          </cell>
        </row>
        <row r="37">
          <cell r="E37">
            <v>1.7346618992825434E-2</v>
          </cell>
          <cell r="F37">
            <v>4.7782205151160759E-2</v>
          </cell>
          <cell r="G37">
            <v>1.8474161716085652E-3</v>
          </cell>
        </row>
        <row r="38">
          <cell r="C38">
            <v>1.9550196931185999E-2</v>
          </cell>
          <cell r="E38">
            <v>2.3948552408587873E-2</v>
          </cell>
          <cell r="F38">
            <v>3.0156458155402827E-2</v>
          </cell>
          <cell r="G38">
            <v>3.1600389036704536E-3</v>
          </cell>
          <cell r="L38">
            <v>7.8261019105572857E-2</v>
          </cell>
        </row>
        <row r="39">
          <cell r="E39">
            <v>3.1720666116693066E-2</v>
          </cell>
          <cell r="F39">
            <v>1.8376745317666986E-2</v>
          </cell>
          <cell r="G39">
            <v>4.5847544954707425E-3</v>
          </cell>
        </row>
        <row r="40">
          <cell r="E40">
            <v>3.8958119297266294E-2</v>
          </cell>
          <cell r="F40">
            <v>4.3333723043755094E-2</v>
          </cell>
          <cell r="G40">
            <v>5.9806573947937423E-3</v>
          </cell>
        </row>
        <row r="41">
          <cell r="E41">
            <v>4.6292694714230677E-2</v>
          </cell>
          <cell r="F41">
            <v>2.7033855554054825E-2</v>
          </cell>
          <cell r="G41">
            <v>7.9255071855151831E-3</v>
          </cell>
        </row>
        <row r="42">
          <cell r="E42">
            <v>5.3630869789992895E-2</v>
          </cell>
          <cell r="F42">
            <v>4.2782836132272767E-2</v>
          </cell>
          <cell r="G42">
            <v>3.4235701407005965E-3</v>
          </cell>
        </row>
        <row r="43">
          <cell r="E43">
            <v>6.1040780639100164E-2</v>
          </cell>
          <cell r="F43">
            <v>2.6725612231351746E-2</v>
          </cell>
          <cell r="G43">
            <v>1.171605280649729E-3</v>
          </cell>
        </row>
        <row r="64">
          <cell r="K64">
            <v>4.2704733589600341</v>
          </cell>
          <cell r="L64">
            <v>3.3363486982918151</v>
          </cell>
          <cell r="M64">
            <v>2.7205153444219055</v>
          </cell>
        </row>
        <row r="65">
          <cell r="B65">
            <v>3.1663208814112349</v>
          </cell>
          <cell r="C65">
            <v>4.2272369645651837</v>
          </cell>
          <cell r="D65">
            <v>5.3371840763009297</v>
          </cell>
          <cell r="E65">
            <v>6.1513553543739503</v>
          </cell>
          <cell r="F65">
            <v>6.5734415922569092</v>
          </cell>
          <cell r="G65">
            <v>6.544236726682656</v>
          </cell>
          <cell r="H65">
            <v>6.2253293270102112</v>
          </cell>
          <cell r="I65">
            <v>5.7472392460558126</v>
          </cell>
          <cell r="J65">
            <v>5.1118308569664341</v>
          </cell>
        </row>
      </sheetData>
      <sheetData sheetId="1"/>
      <sheetData sheetId="2"/>
      <sheetData sheetId="3">
        <row r="1">
          <cell r="Q1">
            <v>7.0000000000000001E-3</v>
          </cell>
        </row>
      </sheetData>
      <sheetData sheetId="4">
        <row r="10">
          <cell r="U10">
            <v>0.4</v>
          </cell>
        </row>
        <row r="11">
          <cell r="D11">
            <v>35.758964163449491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0.4</v>
          </cell>
        </row>
        <row r="11">
          <cell r="D11">
            <v>115.47808310310756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0.4</v>
          </cell>
        </row>
        <row r="11">
          <cell r="D11">
            <v>185.92643981699075</v>
          </cell>
          <cell r="O11">
            <v>0.14000000000000001</v>
          </cell>
        </row>
        <row r="12">
          <cell r="L12">
            <v>0</v>
          </cell>
          <cell r="O12">
            <v>365</v>
          </cell>
        </row>
        <row r="379">
          <cell r="Q379">
            <v>0.7</v>
          </cell>
        </row>
      </sheetData>
      <sheetData sheetId="7">
        <row r="10">
          <cell r="U10">
            <v>0.4</v>
          </cell>
        </row>
        <row r="11">
          <cell r="D11">
            <v>274.90880984406976</v>
          </cell>
          <cell r="O11">
            <v>7.0000000000000007E-2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8">
        <row r="10">
          <cell r="U10">
            <v>0.39999999999999997</v>
          </cell>
        </row>
        <row r="11">
          <cell r="D11">
            <v>364.78502449712687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133">
          <cell r="O133">
            <v>2.4995833673155981E-2</v>
          </cell>
        </row>
        <row r="379">
          <cell r="Q379">
            <v>0.7</v>
          </cell>
        </row>
      </sheetData>
      <sheetData sheetId="9">
        <row r="10">
          <cell r="U10">
            <v>0.39999999999999991</v>
          </cell>
        </row>
        <row r="11">
          <cell r="D11">
            <v>433.29678138637428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379">
          <cell r="Q379">
            <v>0.7</v>
          </cell>
        </row>
      </sheetData>
      <sheetData sheetId="10">
        <row r="10">
          <cell r="U10">
            <v>0.40000000000000013</v>
          </cell>
        </row>
        <row r="11">
          <cell r="D11">
            <v>517.23158343089744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379">
          <cell r="Q379">
            <v>0.7</v>
          </cell>
        </row>
      </sheetData>
      <sheetData sheetId="11">
        <row r="10">
          <cell r="U10">
            <v>0.40000000000000013</v>
          </cell>
        </row>
        <row r="11">
          <cell r="D11">
            <v>589.83598759379856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379">
          <cell r="Q379">
            <v>0.7</v>
          </cell>
        </row>
      </sheetData>
      <sheetData sheetId="12">
        <row r="10">
          <cell r="U10">
            <v>0.4</v>
          </cell>
        </row>
        <row r="11">
          <cell r="D11">
            <v>679.98883839074006</v>
          </cell>
          <cell r="O11">
            <v>9.6666666666666679E-2</v>
          </cell>
        </row>
        <row r="12">
          <cell r="L12">
            <v>0</v>
          </cell>
          <cell r="O12">
            <v>851.66666666666674</v>
          </cell>
        </row>
        <row r="379">
          <cell r="Q379">
            <v>0.7</v>
          </cell>
        </row>
      </sheetData>
      <sheetData sheetId="13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Escalquens MdS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43481</v>
          </cell>
        </row>
        <row r="5">
          <cell r="C5">
            <v>43476</v>
          </cell>
        </row>
        <row r="11">
          <cell r="C11">
            <v>160.22566753486308</v>
          </cell>
          <cell r="D11">
            <v>0.60385858000374271</v>
          </cell>
        </row>
        <row r="12">
          <cell r="C12">
            <v>461.22295909605776</v>
          </cell>
          <cell r="D12">
            <v>2.2236812290549581</v>
          </cell>
        </row>
        <row r="13">
          <cell r="C13">
            <v>744.45236324571476</v>
          </cell>
          <cell r="D13">
            <v>4.0582267976677597</v>
          </cell>
          <cell r="K13" t="str">
            <v/>
          </cell>
        </row>
        <row r="14">
          <cell r="C14">
            <v>413.32843494688854</v>
          </cell>
          <cell r="D14">
            <v>7.0965647444791342</v>
          </cell>
          <cell r="H14">
            <v>610.82984145338833</v>
          </cell>
          <cell r="I14">
            <v>-0.37798961774554662</v>
          </cell>
          <cell r="K14">
            <v>44683</v>
          </cell>
        </row>
        <row r="15">
          <cell r="C15">
            <v>261.49868312729609</v>
          </cell>
          <cell r="D15">
            <v>10.271114150033224</v>
          </cell>
          <cell r="H15">
            <v>387.53391521775529</v>
          </cell>
          <cell r="I15">
            <v>-0.34307640673979911</v>
          </cell>
        </row>
        <row r="16">
          <cell r="C16">
            <v>531.40652587054456</v>
          </cell>
          <cell r="D16">
            <v>13.59693274697625</v>
          </cell>
          <cell r="H16">
            <v>222.18923803401719</v>
          </cell>
          <cell r="I16">
            <v>-0.2681971444405562</v>
          </cell>
        </row>
        <row r="17">
          <cell r="C17">
            <v>337.52397436493413</v>
          </cell>
          <cell r="D17">
            <v>17.589062836515012</v>
          </cell>
          <cell r="H17">
            <v>481.07328275251245</v>
          </cell>
          <cell r="I17">
            <v>-0.74489933654473006</v>
          </cell>
          <cell r="M17">
            <v>497.83328547324493</v>
          </cell>
        </row>
        <row r="18">
          <cell r="C18">
            <v>523.75494363658675</v>
          </cell>
          <cell r="D18">
            <v>6.8534697385830032</v>
          </cell>
          <cell r="H18">
            <v>416.43456521431824</v>
          </cell>
          <cell r="I18">
            <v>14.006681016420869</v>
          </cell>
        </row>
        <row r="19">
          <cell r="C19">
            <v>333.51525537009707</v>
          </cell>
          <cell r="D19">
            <v>2.2506695781423165</v>
          </cell>
          <cell r="H19">
            <v>511.45098183573771</v>
          </cell>
          <cell r="I19">
            <v>23.296142216023533</v>
          </cell>
        </row>
        <row r="20">
          <cell r="H20">
            <v>409.87511420955752</v>
          </cell>
        </row>
        <row r="32">
          <cell r="M32">
            <v>2</v>
          </cell>
          <cell r="N32">
            <v>467.78945856695742</v>
          </cell>
          <cell r="O32">
            <v>4.1523049742193542E-2</v>
          </cell>
        </row>
        <row r="35">
          <cell r="E35">
            <v>3.4223456565418034E-3</v>
          </cell>
          <cell r="F35">
            <v>1.5565898553265435E-2</v>
          </cell>
          <cell r="G35">
            <v>5.7762563325848303E-5</v>
          </cell>
        </row>
        <row r="36">
          <cell r="E36">
            <v>1.0094932119871306E-2</v>
          </cell>
          <cell r="F36">
            <v>4.0132050151129466E-2</v>
          </cell>
          <cell r="G36">
            <v>1.859496458260074E-4</v>
          </cell>
        </row>
        <row r="37">
          <cell r="E37">
            <v>1.72241640195442E-2</v>
          </cell>
          <cell r="F37">
            <v>6.7892504425883932E-2</v>
          </cell>
          <cell r="G37">
            <v>3.4619307806434271E-4</v>
          </cell>
        </row>
        <row r="38">
          <cell r="C38">
            <v>2.8403635158934293E-2</v>
          </cell>
          <cell r="E38">
            <v>2.404548100932373E-2</v>
          </cell>
          <cell r="F38">
            <v>3.4950554449981144E-2</v>
          </cell>
          <cell r="G38">
            <v>5.7934176781997777E-4</v>
          </cell>
          <cell r="L38">
            <v>7.7380301204591356E-2</v>
          </cell>
        </row>
        <row r="39">
          <cell r="E39">
            <v>3.16091794443049E-2</v>
          </cell>
          <cell r="F39">
            <v>2.1837845378128454E-2</v>
          </cell>
          <cell r="G39">
            <v>8.3884665192708097E-4</v>
          </cell>
        </row>
        <row r="40">
          <cell r="E40">
            <v>3.8841378898109846E-2</v>
          </cell>
          <cell r="F40">
            <v>4.5406335741412854E-2</v>
          </cell>
          <cell r="G40">
            <v>1.1094643159716569E-3</v>
          </cell>
        </row>
        <row r="41">
          <cell r="E41">
            <v>4.6178216108120347E-2</v>
          </cell>
          <cell r="F41">
            <v>2.8413727197449987E-2</v>
          </cell>
          <cell r="G41">
            <v>1.4379529527304002E-3</v>
          </cell>
        </row>
        <row r="42">
          <cell r="E42">
            <v>5.3496264048092095E-2</v>
          </cell>
          <cell r="F42">
            <v>4.4773187674224085E-2</v>
          </cell>
          <cell r="G42">
            <v>5.5947908691621E-4</v>
          </cell>
        </row>
        <row r="43">
          <cell r="E43">
            <v>6.0919031228565623E-2</v>
          </cell>
          <cell r="F43">
            <v>2.8018813264228781E-2</v>
          </cell>
          <cell r="G43">
            <v>1.8362179347101166E-4</v>
          </cell>
        </row>
        <row r="64">
          <cell r="K64">
            <v>4.2189801886897591</v>
          </cell>
          <cell r="L64">
            <v>3.14623853744328</v>
          </cell>
          <cell r="M64">
            <v>2.5777020953999492</v>
          </cell>
        </row>
        <row r="65">
          <cell r="B65">
            <v>2.9922277822116787</v>
          </cell>
          <cell r="C65">
            <v>4.0478613578341625</v>
          </cell>
          <cell r="D65">
            <v>5.2125692652464251</v>
          </cell>
          <cell r="E65">
            <v>6.2122828745724714</v>
          </cell>
          <cell r="F65">
            <v>6.7947117177172061</v>
          </cell>
          <cell r="G65">
            <v>6.7395511700847717</v>
          </cell>
          <cell r="H65">
            <v>6.4856883996110684</v>
          </cell>
          <cell r="I65">
            <v>6.0225105975803892</v>
          </cell>
          <cell r="J65">
            <v>5.2605564433135159</v>
          </cell>
        </row>
      </sheetData>
      <sheetData sheetId="1"/>
      <sheetData sheetId="2"/>
      <sheetData sheetId="3">
        <row r="1">
          <cell r="Q1">
            <v>7.0000000000000001E-3</v>
          </cell>
        </row>
        <row r="5">
          <cell r="U5">
            <v>8.0000000000000002E-3</v>
          </cell>
        </row>
      </sheetData>
      <sheetData sheetId="4">
        <row r="10">
          <cell r="U10">
            <v>0.5</v>
          </cell>
        </row>
        <row r="11">
          <cell r="D11">
            <v>35.107345778133094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5">
        <row r="10">
          <cell r="U10">
            <v>0.5</v>
          </cell>
        </row>
        <row r="11">
          <cell r="D11">
            <v>114.8578763951009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6">
        <row r="10">
          <cell r="U10">
            <v>0.5</v>
          </cell>
        </row>
        <row r="11">
          <cell r="D11">
            <v>185.66778992785657</v>
          </cell>
          <cell r="O11">
            <v>0.15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7">
        <row r="10">
          <cell r="U10">
            <v>0.5</v>
          </cell>
        </row>
        <row r="11">
          <cell r="D11">
            <v>277.68692906999786</v>
          </cell>
          <cell r="O11">
            <v>0.08</v>
          </cell>
        </row>
        <row r="12">
          <cell r="L12">
            <v>0</v>
          </cell>
          <cell r="O12">
            <v>730</v>
          </cell>
        </row>
        <row r="379">
          <cell r="Q379">
            <v>0.6</v>
          </cell>
        </row>
      </sheetData>
      <sheetData sheetId="8">
        <row r="10">
          <cell r="U10">
            <v>0.5</v>
          </cell>
        </row>
        <row r="11">
          <cell r="D11">
            <v>366.90847513375775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133">
          <cell r="O133">
            <v>3.6531631226483834E-2</v>
          </cell>
        </row>
        <row r="379">
          <cell r="Q379">
            <v>0.6</v>
          </cell>
        </row>
      </sheetData>
      <sheetData sheetId="9">
        <row r="10">
          <cell r="U10">
            <v>0.5</v>
          </cell>
        </row>
        <row r="11">
          <cell r="D11">
            <v>437.57835027897454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0.6</v>
          </cell>
        </row>
      </sheetData>
      <sheetData sheetId="10">
        <row r="10">
          <cell r="U10">
            <v>0.5</v>
          </cell>
        </row>
        <row r="11">
          <cell r="D11">
            <v>524.33385368343625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0.6</v>
          </cell>
        </row>
      </sheetData>
      <sheetData sheetId="11">
        <row r="10">
          <cell r="U10">
            <v>0.5</v>
          </cell>
        </row>
        <row r="11">
          <cell r="D11">
            <v>594.01932460338867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0.6</v>
          </cell>
        </row>
      </sheetData>
      <sheetData sheetId="12">
        <row r="10">
          <cell r="U10">
            <v>0.5</v>
          </cell>
        </row>
        <row r="11">
          <cell r="D11">
            <v>683.49716143450678</v>
          </cell>
          <cell r="O11">
            <v>0.10999999999999999</v>
          </cell>
        </row>
        <row r="12">
          <cell r="L12">
            <v>0</v>
          </cell>
          <cell r="O12">
            <v>973.33333333333326</v>
          </cell>
        </row>
        <row r="379">
          <cell r="Q379">
            <v>0.6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sqref="A1:J18"/>
    </sheetView>
  </sheetViews>
  <sheetFormatPr baseColWidth="10" defaultRowHeight="15" x14ac:dyDescent="0.25"/>
  <cols>
    <col min="1" max="1" width="32" style="298" customWidth="1"/>
    <col min="2" max="2" width="10.85546875" style="4" bestFit="1" customWidth="1"/>
    <col min="3" max="3" width="0" style="422" hidden="1" customWidth="1"/>
    <col min="4" max="5" width="11.42578125" style="402"/>
    <col min="6" max="6" width="0" style="402" hidden="1" customWidth="1"/>
    <col min="7" max="7" width="11.42578125" style="402"/>
    <col min="8" max="9" width="11.42578125" style="423"/>
    <col min="10" max="16384" width="11.42578125" style="298"/>
  </cols>
  <sheetData>
    <row r="1" spans="1:22" x14ac:dyDescent="0.25">
      <c r="H1" s="441" t="s">
        <v>116</v>
      </c>
      <c r="I1" s="441" t="s">
        <v>118</v>
      </c>
    </row>
    <row r="2" spans="1:22" ht="15.75" x14ac:dyDescent="0.25">
      <c r="A2" s="401" t="s">
        <v>109</v>
      </c>
      <c r="D2" s="439" t="s">
        <v>114</v>
      </c>
      <c r="E2" s="440"/>
      <c r="F2" s="408" t="s">
        <v>112</v>
      </c>
      <c r="G2" s="408" t="s">
        <v>112</v>
      </c>
      <c r="H2" s="441"/>
      <c r="I2" s="441"/>
      <c r="J2" s="443" t="s">
        <v>117</v>
      </c>
    </row>
    <row r="3" spans="1:22" x14ac:dyDescent="0.25">
      <c r="A3" s="403" t="s">
        <v>24</v>
      </c>
      <c r="B3" s="406" t="s">
        <v>111</v>
      </c>
      <c r="C3" s="424" t="s">
        <v>110</v>
      </c>
      <c r="D3" s="415">
        <v>2021</v>
      </c>
      <c r="E3" s="415">
        <v>2022</v>
      </c>
      <c r="F3" s="407" t="s">
        <v>113</v>
      </c>
      <c r="G3" s="407" t="s">
        <v>115</v>
      </c>
      <c r="H3" s="442"/>
      <c r="I3" s="442"/>
      <c r="J3" s="444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</row>
    <row r="4" spans="1:22" x14ac:dyDescent="0.25">
      <c r="A4" s="404" t="s">
        <v>5</v>
      </c>
      <c r="B4" s="409">
        <f>[1]Recap!$C$4</f>
        <v>43209</v>
      </c>
      <c r="C4" s="410">
        <f>[1]Recap!$C$5</f>
        <v>43249</v>
      </c>
      <c r="D4" s="416">
        <f>[1]Recap!$K$14</f>
        <v>44306</v>
      </c>
      <c r="E4" s="417" t="str">
        <f>[1]Recap!$K$15</f>
        <v/>
      </c>
      <c r="F4" s="428">
        <f>[1]Recap!$C$39</f>
        <v>9.3172112867404011E-2</v>
      </c>
      <c r="G4" s="429">
        <f>'[1]2023'!$O$133</f>
        <v>0.10274501027396959</v>
      </c>
      <c r="H4" s="432">
        <f>[1]Recap!$M$18</f>
        <v>871.45507058596331</v>
      </c>
      <c r="I4" s="433">
        <f>+H4*J4</f>
        <v>206.79628825004912</v>
      </c>
      <c r="J4" s="436">
        <v>0.23730000000000001</v>
      </c>
    </row>
    <row r="5" spans="1:22" x14ac:dyDescent="0.25">
      <c r="A5" s="405" t="s">
        <v>6</v>
      </c>
      <c r="B5" s="411">
        <f>[2]Recap!$C$4</f>
        <v>43243</v>
      </c>
      <c r="C5" s="412">
        <f>[2]Recap!$C$5</f>
        <v>43272</v>
      </c>
      <c r="D5" s="418">
        <f>[2]Recap!$K$14</f>
        <v>44306</v>
      </c>
      <c r="E5" s="419" t="str">
        <f>[2]Recap!$K$15</f>
        <v/>
      </c>
      <c r="F5" s="427">
        <f>[2]Recap!$C$39</f>
        <v>9.737976641309172E-2</v>
      </c>
      <c r="G5" s="425">
        <f>'[2]2023'!$O$133</f>
        <v>0.11292846769042036</v>
      </c>
      <c r="H5" s="430">
        <f>[2]Recap!$M$18</f>
        <v>1729.6910240002314</v>
      </c>
      <c r="I5" s="434">
        <f t="shared" ref="I5:I18" si="0">+H5*J5</f>
        <v>410.45567999525491</v>
      </c>
      <c r="J5" s="437">
        <v>0.23730000000000001</v>
      </c>
    </row>
    <row r="6" spans="1:22" x14ac:dyDescent="0.25">
      <c r="A6" s="405" t="s">
        <v>7</v>
      </c>
      <c r="B6" s="411">
        <f>[3]Recap!$C$4</f>
        <v>43250</v>
      </c>
      <c r="C6" s="412">
        <f>[3]Recap!$C$5</f>
        <v>43297</v>
      </c>
      <c r="D6" s="418">
        <f>[3]Recap!$K$14</f>
        <v>44306</v>
      </c>
      <c r="E6" s="419" t="str">
        <f>[3]Recap!$K$15</f>
        <v/>
      </c>
      <c r="F6" s="427">
        <f>[3]Recap!$C$39</f>
        <v>5.4012454682629565E-2</v>
      </c>
      <c r="G6" s="425">
        <f>'[3]2023'!$O$133</f>
        <v>6.241199358046659E-2</v>
      </c>
      <c r="H6" s="430">
        <f>[3]Recap!$M$18</f>
        <v>941.24673086947928</v>
      </c>
      <c r="I6" s="434">
        <f t="shared" si="0"/>
        <v>223.35784923532745</v>
      </c>
      <c r="J6" s="437">
        <v>0.23730000000000001</v>
      </c>
    </row>
    <row r="7" spans="1:22" x14ac:dyDescent="0.25">
      <c r="A7" s="405" t="s">
        <v>8</v>
      </c>
      <c r="B7" s="411">
        <f>[4]Recap!$C$4</f>
        <v>43259</v>
      </c>
      <c r="C7" s="412">
        <f>[4]Recap!$C$5</f>
        <v>43301</v>
      </c>
      <c r="D7" s="418">
        <f>[4]Recap!$K$14</f>
        <v>44307</v>
      </c>
      <c r="E7" s="419" t="str">
        <f>[4]Recap!$K$15</f>
        <v/>
      </c>
      <c r="F7" s="427">
        <f>[4]Recap!$C$39</f>
        <v>5.3668883254387734E-2</v>
      </c>
      <c r="G7" s="425">
        <f>'[4]2023'!$O$133</f>
        <v>6.1249941231105838E-2</v>
      </c>
      <c r="H7" s="430">
        <f>[4]Recap!$M$18</f>
        <v>945.2130117834115</v>
      </c>
      <c r="I7" s="434">
        <f t="shared" si="0"/>
        <v>224.29904769620356</v>
      </c>
      <c r="J7" s="437">
        <v>0.23730000000000001</v>
      </c>
    </row>
    <row r="8" spans="1:22" x14ac:dyDescent="0.25">
      <c r="A8" s="405" t="s">
        <v>9</v>
      </c>
      <c r="B8" s="411">
        <f>[5]Recap!$C$4</f>
        <v>43313</v>
      </c>
      <c r="C8" s="412">
        <f>[5]Recap!$C$5</f>
        <v>43340</v>
      </c>
      <c r="D8" s="418">
        <f>[5]Recap!$K$14</f>
        <v>44307</v>
      </c>
      <c r="E8" s="419" t="str">
        <f>[5]Recap!$K$15</f>
        <v/>
      </c>
      <c r="F8" s="427">
        <f>[5]Recap!$C$39</f>
        <v>0.12183848892664172</v>
      </c>
      <c r="G8" s="425">
        <f>'[5]2023'!$O$133</f>
        <v>0.13317606880789065</v>
      </c>
      <c r="H8" s="430">
        <f>[5]Recap!$M$18</f>
        <v>1506.9142691459615</v>
      </c>
      <c r="I8" s="434">
        <f t="shared" si="0"/>
        <v>357.5907560683367</v>
      </c>
      <c r="J8" s="437">
        <v>0.23730000000000001</v>
      </c>
    </row>
    <row r="9" spans="1:22" x14ac:dyDescent="0.25">
      <c r="A9" s="405" t="s">
        <v>10</v>
      </c>
      <c r="B9" s="411">
        <f>[6]Recap!$C$4</f>
        <v>43313</v>
      </c>
      <c r="C9" s="412">
        <f>[6]Recap!$C$5</f>
        <v>43354</v>
      </c>
      <c r="D9" s="418">
        <f>[6]Recap!$K$14</f>
        <v>44306</v>
      </c>
      <c r="E9" s="419" t="str">
        <f>[6]Recap!$K$15</f>
        <v/>
      </c>
      <c r="F9" s="427">
        <f>[6]Recap!$C$39</f>
        <v>0.10212546462124136</v>
      </c>
      <c r="G9" s="425">
        <f>'[6]2023'!$O$133</f>
        <v>0.11276994136905134</v>
      </c>
      <c r="H9" s="430">
        <f>[6]Recap!$M$18</f>
        <v>1544.4369036053581</v>
      </c>
      <c r="I9" s="434">
        <f t="shared" si="0"/>
        <v>366.49487722555148</v>
      </c>
      <c r="J9" s="437">
        <v>0.23730000000000001</v>
      </c>
    </row>
    <row r="10" spans="1:22" x14ac:dyDescent="0.25">
      <c r="A10" s="405" t="s">
        <v>11</v>
      </c>
      <c r="B10" s="411">
        <f>[7]Recap!$C$4</f>
        <v>43313</v>
      </c>
      <c r="C10" s="412">
        <f>[7]Recap!$C$5</f>
        <v>43354</v>
      </c>
      <c r="D10" s="418">
        <f>[7]Recap!$K$14</f>
        <v>44306</v>
      </c>
      <c r="E10" s="419">
        <f>[7]Recap!$K$15</f>
        <v>44854</v>
      </c>
      <c r="F10" s="425">
        <f>[7]Recap!$C$39</f>
        <v>3.9843868227822786E-2</v>
      </c>
      <c r="G10" s="425">
        <f>'[7]2023'!$O$133</f>
        <v>6.3133338722171847E-2</v>
      </c>
      <c r="H10" s="430">
        <f>[7]Recap!$M$18</f>
        <v>491.1184143524066</v>
      </c>
      <c r="I10" s="434">
        <f t="shared" si="0"/>
        <v>116.54239972582609</v>
      </c>
      <c r="J10" s="437">
        <v>0.23730000000000001</v>
      </c>
    </row>
    <row r="11" spans="1:22" x14ac:dyDescent="0.25">
      <c r="A11" s="405" t="s">
        <v>12</v>
      </c>
      <c r="B11" s="411">
        <f>[8]Recap!$C$4</f>
        <v>43475</v>
      </c>
      <c r="C11" s="412">
        <f>[8]Recap!$C$5</f>
        <v>43522</v>
      </c>
      <c r="D11" s="418" t="str">
        <f>[8]Recap!$K$13</f>
        <v/>
      </c>
      <c r="E11" s="419">
        <f>[8]Recap!$K$14</f>
        <v>44683</v>
      </c>
      <c r="F11" s="425">
        <f>[8]Recap!$C$38</f>
        <v>1.9550196931185999E-2</v>
      </c>
      <c r="G11" s="425">
        <f>'[8]2023'!$O$133</f>
        <v>2.4995833673155981E-2</v>
      </c>
      <c r="H11" s="430">
        <f>[8]Recap!$M$17</f>
        <v>295.51160612421228</v>
      </c>
      <c r="I11" s="434">
        <f t="shared" si="0"/>
        <v>58.008928282182872</v>
      </c>
      <c r="J11" s="437">
        <v>0.1963</v>
      </c>
    </row>
    <row r="12" spans="1:22" x14ac:dyDescent="0.25">
      <c r="A12" s="405" t="s">
        <v>13</v>
      </c>
      <c r="B12" s="411">
        <f>[9]Recap!$C$4</f>
        <v>43481</v>
      </c>
      <c r="C12" s="412">
        <f>[9]Recap!$C$5</f>
        <v>43476</v>
      </c>
      <c r="D12" s="418" t="str">
        <f>[9]Recap!$K$13</f>
        <v/>
      </c>
      <c r="E12" s="419">
        <f>[9]Recap!$K$14</f>
        <v>44683</v>
      </c>
      <c r="F12" s="425">
        <f>[9]Recap!$C$38</f>
        <v>2.8403635158934293E-2</v>
      </c>
      <c r="G12" s="425">
        <f>'[9]2023'!$O$133</f>
        <v>3.6531631226483834E-2</v>
      </c>
      <c r="H12" s="430">
        <f>[9]Recap!$M$17</f>
        <v>497.83328547324493</v>
      </c>
      <c r="I12" s="434">
        <f t="shared" si="0"/>
        <v>97.724673938397984</v>
      </c>
      <c r="J12" s="437">
        <v>0.1963</v>
      </c>
    </row>
    <row r="13" spans="1:22" x14ac:dyDescent="0.25">
      <c r="A13" s="405" t="s">
        <v>92</v>
      </c>
      <c r="B13" s="411">
        <f>[10]Recap!$C$4</f>
        <v>43496</v>
      </c>
      <c r="C13" s="412">
        <f>[10]Recap!$C$5</f>
        <v>43535</v>
      </c>
      <c r="D13" s="418" t="str">
        <f>[10]Recap!$K$13</f>
        <v/>
      </c>
      <c r="E13" s="419">
        <f>[10]Recap!$K$14</f>
        <v>44683</v>
      </c>
      <c r="F13" s="425">
        <f>[10]Recap!$C$38</f>
        <v>2.7127379112340089E-2</v>
      </c>
      <c r="G13" s="425">
        <f>'[10]2023'!$O$133</f>
        <v>3.4982250757871251E-2</v>
      </c>
      <c r="H13" s="430">
        <f>[10]Recap!$M$17</f>
        <v>443.64849702161115</v>
      </c>
      <c r="I13" s="434">
        <f t="shared" si="0"/>
        <v>87.08819996534227</v>
      </c>
      <c r="J13" s="437">
        <v>0.1963</v>
      </c>
    </row>
    <row r="14" spans="1:22" x14ac:dyDescent="0.25">
      <c r="A14" s="405" t="s">
        <v>15</v>
      </c>
      <c r="B14" s="411">
        <f>[11]Recap!$C$4</f>
        <v>43763</v>
      </c>
      <c r="C14" s="412">
        <f>[11]Recap!$C$5</f>
        <v>43851</v>
      </c>
      <c r="D14" s="418" t="str">
        <f>[11]Recap!$K$12</f>
        <v/>
      </c>
      <c r="E14" s="419">
        <f>[11]Recap!$K$13</f>
        <v>44683</v>
      </c>
      <c r="F14" s="425">
        <f>[11]Recap!$C$37</f>
        <v>3.5481489966279291E-2</v>
      </c>
      <c r="G14" s="425">
        <f>'[11]2023'!$O$133</f>
        <v>4.7753836240807326E-2</v>
      </c>
      <c r="H14" s="430">
        <f>[11]Recap!$M$16</f>
        <v>3040.5491022343781</v>
      </c>
      <c r="I14" s="434">
        <f t="shared" si="0"/>
        <v>366.99427663968942</v>
      </c>
      <c r="J14" s="437">
        <v>0.1207</v>
      </c>
    </row>
    <row r="15" spans="1:22" x14ac:dyDescent="0.25">
      <c r="A15" s="405" t="s">
        <v>108</v>
      </c>
      <c r="B15" s="411">
        <f>[12]Recap!$C$4</f>
        <v>43808</v>
      </c>
      <c r="C15" s="412">
        <f>[12]Recap!$C$5</f>
        <v>43854</v>
      </c>
      <c r="D15" s="418" t="str">
        <f>[12]Recap!$K$12</f>
        <v/>
      </c>
      <c r="E15" s="419">
        <f>[12]Recap!$K$13</f>
        <v>44683</v>
      </c>
      <c r="F15" s="425">
        <f>[12]Recap!$C$37</f>
        <v>1.5154364362308178E-2</v>
      </c>
      <c r="G15" s="425">
        <f>'[12]2023'!$O$133</f>
        <v>1.9972834169430537E-2</v>
      </c>
      <c r="H15" s="430">
        <f>[12]Recap!$M$16</f>
        <v>1039.6662217279618</v>
      </c>
      <c r="I15" s="434">
        <f t="shared" si="0"/>
        <v>125.48771296256498</v>
      </c>
      <c r="J15" s="437">
        <v>0.1207</v>
      </c>
    </row>
    <row r="16" spans="1:22" x14ac:dyDescent="0.25">
      <c r="A16" s="405" t="s">
        <v>17</v>
      </c>
      <c r="B16" s="411">
        <f>[13]Recap!$C$4</f>
        <v>43881</v>
      </c>
      <c r="C16" s="412">
        <f>[13]Recap!$C$5</f>
        <v>43983</v>
      </c>
      <c r="D16" s="418" t="str">
        <f>[13]Recap!$K$12</f>
        <v/>
      </c>
      <c r="E16" s="419" t="str">
        <f>[13]Recap!$K$11</f>
        <v/>
      </c>
      <c r="F16" s="427">
        <f>[13]Recap!$C$37</f>
        <v>5.3893978729115229E-2</v>
      </c>
      <c r="G16" s="425">
        <f>'[13]2023'!$O$133</f>
        <v>5.7885469663180554E-2</v>
      </c>
      <c r="H16" s="430">
        <f>[13]Recap!$M$16</f>
        <v>3100.7426032236544</v>
      </c>
      <c r="I16" s="434">
        <f t="shared" si="0"/>
        <v>374.25963220909512</v>
      </c>
      <c r="J16" s="437">
        <v>0.1207</v>
      </c>
    </row>
    <row r="17" spans="1:10" x14ac:dyDescent="0.25">
      <c r="A17" s="405" t="s">
        <v>18</v>
      </c>
      <c r="B17" s="411">
        <f>[14]Recap!$C$4</f>
        <v>44424</v>
      </c>
      <c r="C17" s="412">
        <f>[14]Recap!$C$5</f>
        <v>44536</v>
      </c>
      <c r="D17" s="418"/>
      <c r="E17" s="419" t="str">
        <f>[14]Recap!$K$11</f>
        <v/>
      </c>
      <c r="F17" s="425">
        <f>[14]Recap!$C$35</f>
        <v>2.9436928440858216E-2</v>
      </c>
      <c r="G17" s="425">
        <f>'[14]2023'!$O$133</f>
        <v>3.4993230934781447E-2</v>
      </c>
      <c r="H17" s="430">
        <f>[14]Recap!$M$14</f>
        <v>2534.8464205931095</v>
      </c>
      <c r="I17" s="434">
        <f t="shared" si="0"/>
        <v>287.70506873731796</v>
      </c>
      <c r="J17" s="437">
        <v>0.1135</v>
      </c>
    </row>
    <row r="18" spans="1:10" x14ac:dyDescent="0.25">
      <c r="A18" s="403" t="s">
        <v>103</v>
      </c>
      <c r="B18" s="413">
        <f>[15]Recap!$C$4</f>
        <v>44522</v>
      </c>
      <c r="C18" s="414">
        <f>[15]Recap!$C$5</f>
        <v>44568</v>
      </c>
      <c r="D18" s="420"/>
      <c r="E18" s="421" t="str">
        <f>[15]Recap!$K$11</f>
        <v/>
      </c>
      <c r="F18" s="426">
        <f>[15]Recap!$C$35</f>
        <v>2.4698364221137914E-2</v>
      </c>
      <c r="G18" s="426">
        <f>'[15]2023'!$O$133</f>
        <v>3.0700399563379131E-2</v>
      </c>
      <c r="H18" s="431">
        <f>[15]Recap!$M$14</f>
        <v>543.72606907563625</v>
      </c>
      <c r="I18" s="435">
        <f t="shared" si="0"/>
        <v>82.700735106404281</v>
      </c>
      <c r="J18" s="438">
        <v>0.15210000000000001</v>
      </c>
    </row>
  </sheetData>
  <mergeCells count="4">
    <mergeCell ref="D2:E2"/>
    <mergeCell ref="H1:H3"/>
    <mergeCell ref="I1:I3"/>
    <mergeCell ref="J2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6"/>
  <sheetViews>
    <sheetView topLeftCell="A16" workbookViewId="0">
      <selection activeCell="A39" sqref="A39:P39"/>
    </sheetView>
  </sheetViews>
  <sheetFormatPr baseColWidth="10" defaultRowHeight="15" x14ac:dyDescent="0.25"/>
  <cols>
    <col min="1" max="1" width="27.140625" customWidth="1"/>
    <col min="2" max="16" width="9.5703125" style="366" customWidth="1"/>
  </cols>
  <sheetData>
    <row r="1" spans="1:17" ht="18.75" x14ac:dyDescent="0.3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4"/>
    </row>
    <row r="2" spans="1:17" ht="7.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26"/>
    </row>
    <row r="3" spans="1:17" s="15" customFormat="1" ht="36" x14ac:dyDescent="0.2">
      <c r="A3" s="341" t="s">
        <v>87</v>
      </c>
      <c r="B3" s="342" t="s">
        <v>5</v>
      </c>
      <c r="C3" s="342" t="s">
        <v>6</v>
      </c>
      <c r="D3" s="342" t="s">
        <v>7</v>
      </c>
      <c r="E3" s="342" t="s">
        <v>8</v>
      </c>
      <c r="F3" s="342" t="s">
        <v>9</v>
      </c>
      <c r="G3" s="342" t="s">
        <v>10</v>
      </c>
      <c r="H3" s="342" t="s">
        <v>11</v>
      </c>
      <c r="I3" s="342" t="s">
        <v>12</v>
      </c>
      <c r="J3" s="342" t="s">
        <v>13</v>
      </c>
      <c r="K3" s="342" t="s">
        <v>88</v>
      </c>
      <c r="L3" s="342" t="s">
        <v>15</v>
      </c>
      <c r="M3" s="342" t="s">
        <v>16</v>
      </c>
      <c r="N3" s="342" t="s">
        <v>17</v>
      </c>
      <c r="O3" s="342" t="s">
        <v>18</v>
      </c>
      <c r="P3" s="342" t="s">
        <v>19</v>
      </c>
    </row>
    <row r="4" spans="1:17" x14ac:dyDescent="0.25">
      <c r="A4" s="343" t="s">
        <v>99</v>
      </c>
      <c r="B4" s="367">
        <f>Pertes!T23</f>
        <v>4.3637206482691517E-3</v>
      </c>
      <c r="C4" s="367">
        <f>Pertes!U23</f>
        <v>1.7028019052896266E-3</v>
      </c>
      <c r="D4" s="367">
        <f>Pertes!V23</f>
        <v>2.6741741248463818E-4</v>
      </c>
      <c r="E4" s="367">
        <f>Pertes!W23</f>
        <v>8.4619993581648337E-5</v>
      </c>
      <c r="F4" s="367">
        <f>Pertes!X23</f>
        <v>1.7508403757723176E-3</v>
      </c>
      <c r="G4" s="367">
        <f>Pertes!Y23</f>
        <v>4.8886297070358637E-4</v>
      </c>
      <c r="H4" s="367">
        <f>Pertes!Z23</f>
        <v>9.6013416817634055E-3</v>
      </c>
      <c r="I4" s="367">
        <f>Pertes!AA23</f>
        <v>3.1600389036704536E-3</v>
      </c>
      <c r="J4" s="367">
        <f>Pertes!AB23</f>
        <v>5.7934176781997777E-4</v>
      </c>
      <c r="K4" s="367">
        <f>Pertes!AC23</f>
        <v>2.9469959024322126E-5</v>
      </c>
      <c r="L4" s="367">
        <f>Pertes!AD23</f>
        <v>1.4061788759785723E-5</v>
      </c>
      <c r="M4" s="367">
        <f>Pertes!AE23</f>
        <v>1.2343979656983357E-4</v>
      </c>
      <c r="N4" s="367">
        <f>Pertes!AF23</f>
        <v>9.7389982502581092E-6</v>
      </c>
      <c r="O4" s="367">
        <f>Pertes!AG23</f>
        <v>4.0972298304039836E-5</v>
      </c>
      <c r="P4" s="368">
        <f>Pertes!AH23</f>
        <v>1.224006221423847E-4</v>
      </c>
    </row>
    <row r="5" spans="1:17" x14ac:dyDescent="0.25">
      <c r="A5" s="346" t="s">
        <v>100</v>
      </c>
      <c r="B5" s="369">
        <f>Pertes!T9</f>
        <v>8.2066513585501252E-2</v>
      </c>
      <c r="C5" s="369">
        <f>Pertes!U9</f>
        <v>7.1997045409124799E-2</v>
      </c>
      <c r="D5" s="369">
        <f>Pertes!V9</f>
        <v>4.0878522946332305E-2</v>
      </c>
      <c r="E5" s="369">
        <f>Pertes!W9</f>
        <v>4.1274884496331612E-2</v>
      </c>
      <c r="F5" s="369">
        <f>Pertes!X9</f>
        <v>0.10814025260464089</v>
      </c>
      <c r="G5" s="369">
        <f>Pertes!Y9</f>
        <v>9.150835972314636E-2</v>
      </c>
      <c r="H5" s="369">
        <f>Pertes!Z9</f>
        <v>0.13972581590977767</v>
      </c>
      <c r="I5" s="369">
        <f>Pertes!AA9</f>
        <v>3.0156458155402827E-2</v>
      </c>
      <c r="J5" s="369">
        <f>Pertes!AB9</f>
        <v>3.4950554449981144E-2</v>
      </c>
      <c r="K5" s="369">
        <f>Pertes!AC9</f>
        <v>4.3468339145651673E-2</v>
      </c>
      <c r="L5" s="369">
        <f>Pertes!AD9</f>
        <v>2.5499195570433755E-2</v>
      </c>
      <c r="M5" s="369">
        <f>Pertes!AE9</f>
        <v>1.9095836738424476E-2</v>
      </c>
      <c r="N5" s="369">
        <f>Pertes!AF9</f>
        <v>4.1707658943991616E-2</v>
      </c>
      <c r="O5" s="369">
        <f>Pertes!AG9</f>
        <v>2.0742102046489776E-2</v>
      </c>
      <c r="P5" s="370">
        <f>Pertes!AH9</f>
        <v>1.4934919672471136E-2</v>
      </c>
    </row>
    <row r="6" spans="1:17" x14ac:dyDescent="0.25">
      <c r="A6" s="349" t="s">
        <v>91</v>
      </c>
      <c r="B6" s="350">
        <f>[1]Recap!$L$38</f>
        <v>9.2374320811537389E-2</v>
      </c>
      <c r="C6" s="351">
        <f>[2]Recap!$L$38</f>
        <v>7.6966161784992645E-2</v>
      </c>
      <c r="D6" s="351">
        <f>[3]Recap!$L$38</f>
        <v>4.1728153322544911E-2</v>
      </c>
      <c r="E6" s="351">
        <f>[4]Recap!$L$38</f>
        <v>5.1744622120926613E-2</v>
      </c>
      <c r="F6" s="351">
        <f>[5]Recap!$L$38</f>
        <v>9.5363472841258151E-2</v>
      </c>
      <c r="G6" s="351">
        <f>[6]Recap!$L$38</f>
        <v>9.5265982743073477E-2</v>
      </c>
      <c r="H6" s="351">
        <f>[7]Recap!$L$38</f>
        <v>0.10287433262255685</v>
      </c>
      <c r="I6" s="351">
        <f>[8]Recap!$L$38</f>
        <v>7.8261019105572857E-2</v>
      </c>
      <c r="J6" s="351">
        <f>[9]Recap!$L$38</f>
        <v>7.7380301204591356E-2</v>
      </c>
      <c r="K6" s="351">
        <f>[10]Recap!$L$38</f>
        <v>0.1076176218294741</v>
      </c>
      <c r="L6" s="351">
        <f>[11]Recap!$L$37</f>
        <v>3.6006653894440396E-2</v>
      </c>
      <c r="M6" s="351">
        <f>[12]Recap!$L$37</f>
        <v>4.5103415520396845E-2</v>
      </c>
      <c r="N6" s="351"/>
      <c r="O6" s="351"/>
      <c r="P6" s="352"/>
    </row>
    <row r="22" spans="1:24" s="15" customFormat="1" ht="48" x14ac:dyDescent="0.25">
      <c r="B22" s="342" t="s">
        <v>6</v>
      </c>
      <c r="C22" s="342" t="s">
        <v>6</v>
      </c>
      <c r="D22" s="342" t="s">
        <v>7</v>
      </c>
      <c r="E22" s="342" t="s">
        <v>8</v>
      </c>
      <c r="F22" s="342" t="s">
        <v>9</v>
      </c>
      <c r="G22" s="342" t="s">
        <v>10</v>
      </c>
      <c r="H22" s="342" t="s">
        <v>11</v>
      </c>
      <c r="I22" s="342" t="s">
        <v>12</v>
      </c>
      <c r="J22" s="342" t="s">
        <v>13</v>
      </c>
      <c r="K22" s="342" t="s">
        <v>92</v>
      </c>
      <c r="L22" s="342" t="s">
        <v>15</v>
      </c>
      <c r="M22" s="342" t="s">
        <v>16</v>
      </c>
      <c r="N22" s="342" t="s">
        <v>17</v>
      </c>
      <c r="O22" s="342" t="s">
        <v>18</v>
      </c>
      <c r="P22" s="342" t="s">
        <v>19</v>
      </c>
      <c r="Q22"/>
      <c r="R22" s="447" t="s">
        <v>24</v>
      </c>
      <c r="S22" s="448"/>
      <c r="T22" s="449" t="s">
        <v>25</v>
      </c>
      <c r="U22" s="450"/>
      <c r="V22" s="450"/>
      <c r="W22" s="450"/>
      <c r="X22" s="450"/>
    </row>
    <row r="23" spans="1:24" s="298" customFormat="1" x14ac:dyDescent="0.25">
      <c r="A23" s="371" t="s">
        <v>101</v>
      </c>
      <c r="B23" s="372">
        <f>'[1]Réglage perte'!$U$5</f>
        <v>1.7000000000000001E-2</v>
      </c>
      <c r="C23" s="373">
        <f>'[2]Réglage perte'!$U$5</f>
        <v>8.0000000000000002E-3</v>
      </c>
      <c r="D23" s="373">
        <f>'[3]Réglage perte'!$U$5</f>
        <v>5.4999999999999997E-3</v>
      </c>
      <c r="E23" s="373">
        <f>'[4]Réglage perte'!$U$5</f>
        <v>5.0000000000000001E-3</v>
      </c>
      <c r="F23" s="373">
        <f>'[5]Réglage perte'!$U$5</f>
        <v>1.7999999999999999E-2</v>
      </c>
      <c r="G23" s="373">
        <f>'[6]Réglage perte'!$U$5</f>
        <v>1.7999999999999999E-2</v>
      </c>
      <c r="H23" s="373">
        <f>'[7]Réglage perte'!$U$5</f>
        <v>2.5000000000000001E-2</v>
      </c>
      <c r="I23" s="373">
        <f>'[2]Réglage perte'!$U$5</f>
        <v>8.0000000000000002E-3</v>
      </c>
      <c r="J23" s="373">
        <f>'[9]Réglage perte'!$U$5</f>
        <v>8.0000000000000002E-3</v>
      </c>
      <c r="K23" s="373">
        <f>'[10]Réglage perte'!$U$5</f>
        <v>8.9999999999999993E-3</v>
      </c>
      <c r="L23" s="373">
        <f>'[11]Réglage perte'!$O$5</f>
        <v>7.0000000000000001E-3</v>
      </c>
      <c r="M23" s="373">
        <f>'[12]Réglage perte'!$O$5</f>
        <v>4.0000000000000001E-3</v>
      </c>
      <c r="N23" s="373"/>
      <c r="O23" s="373"/>
      <c r="P23" s="374"/>
      <c r="R23" s="445" t="s">
        <v>27</v>
      </c>
      <c r="S23" s="446"/>
      <c r="T23" s="353" t="str">
        <f>'Réglages pertes'!U30</f>
        <v>Particularités de réglages</v>
      </c>
    </row>
    <row r="24" spans="1:24" s="150" customFormat="1" x14ac:dyDescent="0.25">
      <c r="A24" s="375" t="s">
        <v>102</v>
      </c>
      <c r="B24" s="376">
        <f>B23/(B23+B6)</f>
        <v>0.15542953660295325</v>
      </c>
      <c r="C24" s="377">
        <f t="shared" ref="C24:M24" si="0">C23/(C23+C6)</f>
        <v>9.4155129900348397E-2</v>
      </c>
      <c r="D24" s="377">
        <f t="shared" si="0"/>
        <v>0.11645596139314875</v>
      </c>
      <c r="E24" s="377">
        <f t="shared" si="0"/>
        <v>8.8114076948907397E-2</v>
      </c>
      <c r="F24" s="377">
        <f t="shared" si="0"/>
        <v>0.15878130361448292</v>
      </c>
      <c r="G24" s="377">
        <f t="shared" si="0"/>
        <v>0.15891796957988913</v>
      </c>
      <c r="H24" s="377">
        <f t="shared" si="0"/>
        <v>0.19550444164421812</v>
      </c>
      <c r="I24" s="377">
        <f t="shared" si="0"/>
        <v>9.2741774708330157E-2</v>
      </c>
      <c r="J24" s="377">
        <f t="shared" si="0"/>
        <v>9.3698427941008439E-2</v>
      </c>
      <c r="K24" s="377">
        <f t="shared" si="0"/>
        <v>7.7175300428955651E-2</v>
      </c>
      <c r="L24" s="377">
        <f t="shared" si="0"/>
        <v>0.16276551105746248</v>
      </c>
      <c r="M24" s="377">
        <f t="shared" si="0"/>
        <v>8.1460728497357943E-2</v>
      </c>
      <c r="N24" s="377"/>
      <c r="O24" s="377"/>
      <c r="P24" s="378"/>
      <c r="R24" s="451" t="s">
        <v>27</v>
      </c>
      <c r="S24" s="452"/>
      <c r="T24" s="379" t="str">
        <f>'Réglages pertes'!U31</f>
        <v>Quelques pertes végétation; Taux de salissure assez fort augmente en 2022</v>
      </c>
    </row>
    <row r="25" spans="1:24" x14ac:dyDescent="0.25">
      <c r="R25" s="445" t="s">
        <v>31</v>
      </c>
      <c r="S25" s="446" t="s">
        <v>31</v>
      </c>
      <c r="T25" s="353" t="str">
        <f>'Réglages pertes'!U33</f>
        <v>Taux de salissure assez faible augmente en 2022</v>
      </c>
    </row>
    <row r="26" spans="1:24" x14ac:dyDescent="0.25">
      <c r="R26" s="445" t="s">
        <v>32</v>
      </c>
      <c r="S26" s="446" t="s">
        <v>32</v>
      </c>
      <c r="T26" s="353" t="str">
        <f>'Réglages pertes'!U34</f>
        <v>Faible taux de pertes PV et de salissure</v>
      </c>
    </row>
    <row r="27" spans="1:24" x14ac:dyDescent="0.25">
      <c r="R27" s="445" t="s">
        <v>34</v>
      </c>
      <c r="S27" s="446" t="s">
        <v>34</v>
      </c>
      <c r="T27" s="360" t="str">
        <f>'Réglages pertes'!U35</f>
        <v>Fort taux de perte PV + 1/3 module; salissures assez fortes: 2eme position</v>
      </c>
    </row>
    <row r="28" spans="1:24" s="363" customFormat="1" x14ac:dyDescent="0.25">
      <c r="A28"/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R28" s="445" t="s">
        <v>36</v>
      </c>
      <c r="S28" s="446" t="s">
        <v>36</v>
      </c>
      <c r="T28" s="353" t="str">
        <f>'Réglages pertes'!U36</f>
        <v>RAS</v>
      </c>
    </row>
    <row r="29" spans="1:24" x14ac:dyDescent="0.25">
      <c r="R29" s="445" t="s">
        <v>38</v>
      </c>
      <c r="S29" s="446" t="s">
        <v>38</v>
      </c>
      <c r="T29" s="360" t="str">
        <f>'Réglages pertes'!U37</f>
        <v>Taux PV salissure et végétation sont les plus élevés!</v>
      </c>
    </row>
    <row r="30" spans="1:24" x14ac:dyDescent="0.25">
      <c r="R30" s="445" t="s">
        <v>40</v>
      </c>
      <c r="S30" s="446" t="s">
        <v>40</v>
      </c>
      <c r="T30" s="353" t="str">
        <f>'Réglages pertes'!U38</f>
        <v>Augmentation salissures depuis 2021 effacé par nettoyage 22</v>
      </c>
    </row>
    <row r="31" spans="1:24" x14ac:dyDescent="0.25">
      <c r="R31" s="445" t="s">
        <v>42</v>
      </c>
      <c r="S31" s="446" t="s">
        <v>42</v>
      </c>
      <c r="T31" s="353" t="str">
        <f>'Réglages pertes'!U39</f>
        <v>Légère augmentation taux de salissure en 2022 effacé par nettoyage 22</v>
      </c>
    </row>
    <row r="32" spans="1:24" x14ac:dyDescent="0.25">
      <c r="R32" s="445" t="s">
        <v>44</v>
      </c>
      <c r="S32" s="446" t="s">
        <v>45</v>
      </c>
      <c r="T32" s="353" t="str">
        <f>'Réglages pertes'!U40</f>
        <v>Forte augmentation salissures en 2021-22  effacé par nettoyage 22</v>
      </c>
    </row>
    <row r="33" spans="1:20" x14ac:dyDescent="0.25">
      <c r="R33" s="445" t="s">
        <v>47</v>
      </c>
      <c r="S33" s="446" t="s">
        <v>47</v>
      </c>
      <c r="T33" s="353" t="str">
        <f>'Réglages pertes'!U41</f>
        <v>Augmentation taux de salissure en 2022 effacé par nettoyage 22</v>
      </c>
    </row>
    <row r="34" spans="1:20" x14ac:dyDescent="0.25">
      <c r="R34" s="445" t="s">
        <v>49</v>
      </c>
      <c r="S34" s="446" t="s">
        <v>49</v>
      </c>
      <c r="T34" s="353" t="str">
        <f>'Réglages pertes'!U42</f>
        <v>Fort taux de salissure en 2021-22 effacé par nettoyage 22</v>
      </c>
    </row>
    <row r="35" spans="1:20" x14ac:dyDescent="0.25">
      <c r="R35" s="445" t="s">
        <v>51</v>
      </c>
      <c r="S35" s="446" t="s">
        <v>51</v>
      </c>
      <c r="T35" s="353" t="str">
        <f>'Réglages pertes'!U43</f>
        <v>Taux de salissure initialement le plus faible augmente en 2022</v>
      </c>
    </row>
    <row r="36" spans="1:20" ht="15" customHeight="1" x14ac:dyDescent="0.25">
      <c r="R36" s="445" t="s">
        <v>18</v>
      </c>
      <c r="S36" s="446"/>
      <c r="T36" s="353"/>
    </row>
    <row r="37" spans="1:20" ht="15" customHeight="1" x14ac:dyDescent="0.25">
      <c r="R37" s="445" t="s">
        <v>103</v>
      </c>
      <c r="S37" s="446"/>
      <c r="T37" s="353"/>
    </row>
    <row r="39" spans="1:20" ht="48" x14ac:dyDescent="0.25">
      <c r="A39" s="384" t="s">
        <v>104</v>
      </c>
      <c r="B39" s="342" t="s">
        <v>5</v>
      </c>
      <c r="C39" s="342" t="s">
        <v>6</v>
      </c>
      <c r="D39" s="342" t="s">
        <v>7</v>
      </c>
      <c r="E39" s="342" t="s">
        <v>8</v>
      </c>
      <c r="F39" s="342" t="s">
        <v>9</v>
      </c>
      <c r="G39" s="342" t="s">
        <v>10</v>
      </c>
      <c r="H39" s="342" t="s">
        <v>11</v>
      </c>
      <c r="I39" s="342" t="s">
        <v>12</v>
      </c>
      <c r="J39" s="342" t="s">
        <v>13</v>
      </c>
      <c r="K39" s="342" t="s">
        <v>92</v>
      </c>
      <c r="L39" s="342" t="s">
        <v>15</v>
      </c>
      <c r="M39" s="342" t="s">
        <v>16</v>
      </c>
      <c r="N39" s="342" t="s">
        <v>17</v>
      </c>
      <c r="O39" s="342" t="s">
        <v>18</v>
      </c>
      <c r="P39" s="342" t="s">
        <v>19</v>
      </c>
    </row>
    <row r="40" spans="1:20" x14ac:dyDescent="0.25">
      <c r="A40" s="380" t="s">
        <v>106</v>
      </c>
      <c r="O40" s="453" t="s">
        <v>105</v>
      </c>
      <c r="P40" s="454"/>
    </row>
    <row r="41" spans="1:20" x14ac:dyDescent="0.25">
      <c r="A41" s="354" t="s">
        <v>93</v>
      </c>
      <c r="B41" s="393">
        <v>4.5312174635553107E-2</v>
      </c>
      <c r="C41" s="393">
        <v>3.9432436610392127E-2</v>
      </c>
      <c r="D41" s="393">
        <v>2.6991531297681722E-2</v>
      </c>
      <c r="E41" s="393">
        <v>2.7220922805056905E-2</v>
      </c>
      <c r="F41" s="393">
        <v>5.3892389097312761E-2</v>
      </c>
      <c r="G41" s="393">
        <v>4.8949758658645266E-2</v>
      </c>
      <c r="H41" s="393">
        <v>5.77833117225139E-2</v>
      </c>
      <c r="I41" s="393">
        <v>1.8138872954585349E-2</v>
      </c>
      <c r="J41" s="393">
        <v>2.3347660505402303E-2</v>
      </c>
      <c r="K41" s="393">
        <v>3.1583533572345231E-2</v>
      </c>
      <c r="L41" s="393">
        <v>2.7072780803174389E-2</v>
      </c>
      <c r="M41" s="393">
        <v>1.7877522909908881E-2</v>
      </c>
      <c r="N41" s="393">
        <v>1.4523469020270772E-2</v>
      </c>
      <c r="O41" s="394">
        <v>2.1156113563079549E-2</v>
      </c>
      <c r="P41" s="395">
        <v>2.1267703692230969E-2</v>
      </c>
    </row>
    <row r="42" spans="1:20" x14ac:dyDescent="0.25">
      <c r="A42" s="356" t="s">
        <v>94</v>
      </c>
      <c r="B42" s="396">
        <v>5.9807321905491116E-2</v>
      </c>
      <c r="C42" s="396">
        <v>6.2359571936301671E-2</v>
      </c>
      <c r="D42" s="396">
        <v>3.9773708690149588E-2</v>
      </c>
      <c r="E42" s="396">
        <v>4.1872621846960625E-2</v>
      </c>
      <c r="F42" s="396">
        <v>7.9688487026982002E-2</v>
      </c>
      <c r="G42" s="396">
        <v>7.0001222491576587E-2</v>
      </c>
      <c r="H42" s="396">
        <v>8.1994887800479352E-2</v>
      </c>
      <c r="I42" s="396">
        <v>2.6960206732437757E-2</v>
      </c>
      <c r="J42" s="396">
        <v>3.4765067197101145E-2</v>
      </c>
      <c r="K42" s="396">
        <v>4.7222465831656436E-2</v>
      </c>
      <c r="L42" s="396">
        <v>4.0413989492903549E-2</v>
      </c>
      <c r="M42" s="396">
        <v>2.5151837164038647E-2</v>
      </c>
      <c r="N42" s="396">
        <v>2.0394803140350283E-2</v>
      </c>
      <c r="O42" s="394">
        <v>2.9837913836707679E-2</v>
      </c>
      <c r="P42" s="395">
        <v>2.9999509265102572E-2</v>
      </c>
    </row>
    <row r="43" spans="1:20" x14ac:dyDescent="0.25">
      <c r="A43" s="356" t="s">
        <v>95</v>
      </c>
      <c r="B43" s="396">
        <v>6.1459634167294039E-2</v>
      </c>
      <c r="C43" s="396">
        <v>7.6361994253913962E-2</v>
      </c>
      <c r="D43" s="396">
        <v>4.3300071462779449E-2</v>
      </c>
      <c r="E43" s="396">
        <v>4.667706074689023E-2</v>
      </c>
      <c r="F43" s="396">
        <v>8.85310363253939E-2</v>
      </c>
      <c r="G43" s="396">
        <v>7.7914422145142506E-2</v>
      </c>
      <c r="H43" s="396">
        <v>8.4207760200772433E-2</v>
      </c>
      <c r="I43" s="396">
        <v>3.0621467534179787E-2</v>
      </c>
      <c r="J43" s="396">
        <v>3.9482904030468752E-2</v>
      </c>
      <c r="K43" s="396">
        <v>5.2529233262674009E-2</v>
      </c>
      <c r="L43" s="396">
        <v>4.6495785156176271E-2</v>
      </c>
      <c r="M43" s="396">
        <v>2.7157179432654697E-2</v>
      </c>
      <c r="N43" s="396">
        <v>2.2522806745793645E-2</v>
      </c>
      <c r="O43" s="394">
        <v>3.2401183701939347E-2</v>
      </c>
      <c r="P43" s="395">
        <v>3.2581511656772498E-2</v>
      </c>
    </row>
    <row r="44" spans="1:20" x14ac:dyDescent="0.25">
      <c r="A44" s="358" t="s">
        <v>96</v>
      </c>
      <c r="B44" s="397">
        <v>5.6465268423716568E-2</v>
      </c>
      <c r="C44" s="397">
        <v>7.296561189424236E-2</v>
      </c>
      <c r="D44" s="397">
        <v>3.9668192570722204E-2</v>
      </c>
      <c r="E44" s="397">
        <v>4.4817282822527123E-2</v>
      </c>
      <c r="F44" s="397">
        <v>8.2237332522681159E-2</v>
      </c>
      <c r="G44" s="397">
        <v>7.3820169456146487E-2</v>
      </c>
      <c r="H44" s="397">
        <v>8.3045456670060622E-2</v>
      </c>
      <c r="I44" s="397">
        <v>3.0198805302745355E-2</v>
      </c>
      <c r="J44" s="397">
        <v>3.8937929094097649E-2</v>
      </c>
      <c r="K44" s="397">
        <v>5.1804182351199587E-2</v>
      </c>
      <c r="L44" s="397">
        <v>4.5497232459029147E-2</v>
      </c>
      <c r="M44" s="397">
        <v>2.6729320669830265E-2</v>
      </c>
      <c r="N44" s="397">
        <v>2.2039102484261278E-2</v>
      </c>
      <c r="O44" s="398">
        <v>3.1794170093917759E-2</v>
      </c>
      <c r="P44" s="399">
        <v>3.196633532180608E-2</v>
      </c>
    </row>
    <row r="45" spans="1:20" x14ac:dyDescent="0.25">
      <c r="A45" s="361" t="s">
        <v>97</v>
      </c>
      <c r="B45" s="362">
        <f>[1]Recap!$M$32</f>
        <v>2</v>
      </c>
      <c r="C45" s="362">
        <f>[2]Recap!$M$32</f>
        <v>2</v>
      </c>
      <c r="D45" s="362">
        <f>[3]Recap!$M$32</f>
        <v>2</v>
      </c>
      <c r="E45" s="362">
        <f>[4]Recap!$M$32</f>
        <v>2</v>
      </c>
      <c r="F45" s="362">
        <f>[5]Recap!$M$32</f>
        <v>2</v>
      </c>
      <c r="G45" s="362">
        <f>[6]Recap!$M$32</f>
        <v>2</v>
      </c>
      <c r="H45" s="362">
        <f>[7]Recap!$M$32</f>
        <v>2</v>
      </c>
      <c r="I45" s="362">
        <f>[8]Recap!$M$32</f>
        <v>2</v>
      </c>
      <c r="J45" s="362">
        <f>[9]Recap!$M$32</f>
        <v>2</v>
      </c>
      <c r="K45" s="362">
        <f>[10]Recap!$M$32</f>
        <v>2</v>
      </c>
      <c r="L45" s="362">
        <f>[11]Recap!$M$32</f>
        <v>2</v>
      </c>
      <c r="M45" s="362">
        <f>[12]Recap!$M$32</f>
        <v>2</v>
      </c>
      <c r="N45" s="362">
        <f>[13]Recap!$M$32</f>
        <v>2</v>
      </c>
      <c r="O45" s="362">
        <f>[14]Recap!$M$32</f>
        <v>2</v>
      </c>
      <c r="P45" s="362">
        <f>[15]Recap!$M$32</f>
        <v>2</v>
      </c>
    </row>
    <row r="46" spans="1:20" x14ac:dyDescent="0.25">
      <c r="A46" s="364" t="s">
        <v>107</v>
      </c>
      <c r="B46" s="392">
        <f>[1]Recap!$O$32</f>
        <v>5.8231797844986402E-2</v>
      </c>
      <c r="C46" s="392">
        <f>[2]Recap!$O$32</f>
        <v>5.4642910827585496E-2</v>
      </c>
      <c r="D46" s="392">
        <f>[3]Recap!$O$32</f>
        <v>3.4451989057331017E-2</v>
      </c>
      <c r="E46" s="392">
        <f>[4]Recap!$O$32</f>
        <v>4.0665535656428893E-2</v>
      </c>
      <c r="F46" s="392">
        <f>[5]Recap!$O$32</f>
        <v>7.3522261382149887E-2</v>
      </c>
      <c r="G46" s="392">
        <f>[6]Recap!$O$32</f>
        <v>7.1517192646279357E-2</v>
      </c>
      <c r="H46" s="392">
        <f>[7]Recap!$O$32</f>
        <v>6.8782071995057814E-2</v>
      </c>
      <c r="I46" s="392">
        <f>[8]Recap!$O$32</f>
        <v>3.7198431985913834E-2</v>
      </c>
      <c r="J46" s="392">
        <f>[9]Recap!$O$32</f>
        <v>4.1523049742193542E-2</v>
      </c>
      <c r="K46" s="392">
        <f>[10]Recap!$O$32</f>
        <v>4.58194270109758E-2</v>
      </c>
      <c r="L46" s="392">
        <f>[11]Recap!$O$32</f>
        <v>3.6056795179503678E-2</v>
      </c>
      <c r="M46" s="392">
        <f>[12]Recap!$O$32</f>
        <v>2.3462114188250435E-2</v>
      </c>
      <c r="N46" s="392">
        <f>[13]Recap!$O$32</f>
        <v>1.5667324967177123E-2</v>
      </c>
      <c r="O46" s="392">
        <f>[14]Recap!$O$32</f>
        <v>3.0612363087855372E-2</v>
      </c>
      <c r="P46" s="392">
        <f>[15]Recap!$O$32</f>
        <v>3.0752104847554841E-2</v>
      </c>
    </row>
  </sheetData>
  <mergeCells count="18">
    <mergeCell ref="O40:P40"/>
    <mergeCell ref="R33:S33"/>
    <mergeCell ref="R34:S34"/>
    <mergeCell ref="R35:S35"/>
    <mergeCell ref="R36:S36"/>
    <mergeCell ref="R37:S37"/>
    <mergeCell ref="R32:S32"/>
    <mergeCell ref="R22:S22"/>
    <mergeCell ref="T22:X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B29" sqref="B29:P29"/>
    </sheetView>
  </sheetViews>
  <sheetFormatPr baseColWidth="10" defaultRowHeight="15" x14ac:dyDescent="0.25"/>
  <cols>
    <col min="1" max="1" width="27.140625" customWidth="1"/>
    <col min="2" max="16" width="9.5703125" style="366" customWidth="1"/>
    <col min="17" max="17" width="4.5703125" customWidth="1"/>
  </cols>
  <sheetData>
    <row r="1" spans="1:17" ht="18.75" x14ac:dyDescent="0.3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4"/>
    </row>
    <row r="2" spans="1:17" ht="18.75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26"/>
    </row>
    <row r="3" spans="1:17" s="15" customFormat="1" ht="36" x14ac:dyDescent="0.2">
      <c r="A3" s="341" t="s">
        <v>87</v>
      </c>
      <c r="B3" s="342" t="s">
        <v>5</v>
      </c>
      <c r="C3" s="342" t="s">
        <v>6</v>
      </c>
      <c r="D3" s="342" t="s">
        <v>7</v>
      </c>
      <c r="E3" s="342" t="s">
        <v>8</v>
      </c>
      <c r="F3" s="342" t="s">
        <v>9</v>
      </c>
      <c r="G3" s="342" t="s">
        <v>10</v>
      </c>
      <c r="H3" s="342" t="s">
        <v>11</v>
      </c>
      <c r="I3" s="342" t="s">
        <v>12</v>
      </c>
      <c r="J3" s="342" t="s">
        <v>13</v>
      </c>
      <c r="K3" s="342" t="s">
        <v>88</v>
      </c>
      <c r="L3" s="342" t="s">
        <v>15</v>
      </c>
      <c r="M3" s="342" t="s">
        <v>16</v>
      </c>
      <c r="N3" s="342" t="s">
        <v>17</v>
      </c>
      <c r="O3" s="342" t="s">
        <v>18</v>
      </c>
      <c r="P3" s="342" t="s">
        <v>19</v>
      </c>
    </row>
    <row r="4" spans="1:17" x14ac:dyDescent="0.25">
      <c r="A4" s="385" t="s">
        <v>89</v>
      </c>
      <c r="B4" s="344">
        <f>SUM(Pertes!B23)/'Coeff''s perfo'!B23</f>
        <v>5.7827167950883522</v>
      </c>
      <c r="C4" s="344">
        <f>SUM(Pertes!C23)/'Coeff''s perfo'!C23</f>
        <v>2.2465550022563452</v>
      </c>
      <c r="D4" s="344">
        <f>SUM(Pertes!D23)/'Coeff''s perfo'!D23</f>
        <v>0.35190370507826274</v>
      </c>
      <c r="E4" s="344">
        <f>SUM(Pertes!E23)/'Coeff''s perfo'!E23</f>
        <v>0.11206873655003406</v>
      </c>
      <c r="F4" s="344">
        <f>SUM(Pertes!F23)/'Coeff''s perfo'!F23</f>
        <v>2.095978606870494</v>
      </c>
      <c r="G4" s="344">
        <f>SUM(Pertes!G23)/'Coeff''s perfo'!G23</f>
        <v>0.63890149177929156</v>
      </c>
      <c r="H4" s="344">
        <f>SUM(Pertes!H23)/'Coeff''s perfo'!H23</f>
        <v>12.314898542949765</v>
      </c>
      <c r="I4" s="344">
        <f>SUM(Pertes!I23)/'Coeff''s perfo'!I23</f>
        <v>4.2544654077068156</v>
      </c>
      <c r="J4" s="344">
        <f>SUM(Pertes!J23)/'Coeff''s perfo'!J23</f>
        <v>0.78850719383101486</v>
      </c>
      <c r="K4" s="344">
        <f>SUM(Pertes!K23)/'Coeff''s perfo'!K23</f>
        <v>4.061539667069345E-2</v>
      </c>
      <c r="L4" s="344">
        <f>SUM(Pertes!L23)/'Coeff''s perfo'!L23</f>
        <v>1.959544651942732E-2</v>
      </c>
      <c r="M4" s="344">
        <f>SUM(Pertes!M23)/'Coeff''s perfo'!M23</f>
        <v>0.16716899574118332</v>
      </c>
      <c r="N4" s="344">
        <f>SUM(Pertes!N23)/'Coeff''s perfo'!N23</f>
        <v>1.4052753730939343E-2</v>
      </c>
      <c r="O4" s="344">
        <f>SUM(Pertes!O23)/'Coeff''s perfo'!O23</f>
        <v>5.5067968554324352E-2</v>
      </c>
      <c r="P4" s="345">
        <f>SUM(Pertes!P23)/'Coeff''s perfo'!P23</f>
        <v>0.15835843313044612</v>
      </c>
    </row>
    <row r="5" spans="1:17" x14ac:dyDescent="0.25">
      <c r="A5" s="386" t="s">
        <v>90</v>
      </c>
      <c r="B5" s="347">
        <f>Pertes!B9/'Coeff''s perfo'!B23</f>
        <v>100.25001520718608</v>
      </c>
      <c r="C5" s="347">
        <f>Pertes!C9/'Coeff''s perfo'!C23</f>
        <v>88.41186609272151</v>
      </c>
      <c r="D5" s="347">
        <f>Pertes!D9/'Coeff''s perfo'!D23</f>
        <v>51.616634051048003</v>
      </c>
      <c r="E5" s="347">
        <f>Pertes!E9/'Coeff''s perfo'!E23</f>
        <v>52.428256371288406</v>
      </c>
      <c r="F5" s="347">
        <f>Pertes!F9/'Coeff''s perfo'!F23</f>
        <v>116.25189253343741</v>
      </c>
      <c r="G5" s="347">
        <f>Pertes!G9/'Coeff''s perfo'!G23</f>
        <v>109.26184838173023</v>
      </c>
      <c r="H5" s="347">
        <f>Pertes!H9/'Coeff''s perfo'!H23</f>
        <v>156.6043803674433</v>
      </c>
      <c r="I5" s="347">
        <f>Pertes!I9/'Coeff''s perfo'!I23</f>
        <v>39.384501249675907</v>
      </c>
      <c r="J5" s="347">
        <f>Pertes!J9/'Coeff''s perfo'!J23</f>
        <v>45.925381660765396</v>
      </c>
      <c r="K5" s="347">
        <f>Pertes!K9/'Coeff''s perfo'!K23</f>
        <v>57.354512913414538</v>
      </c>
      <c r="L5" s="347">
        <f>Pertes!L9/'Coeff''s perfo'!L23</f>
        <v>34.637585391285491</v>
      </c>
      <c r="M5" s="347">
        <f>Pertes!M9/'Coeff''s perfo'!M23</f>
        <v>25.368463032436274</v>
      </c>
      <c r="N5" s="347">
        <f>Pertes!N9/'Coeff''s perfo'!N23</f>
        <v>57.756064792336801</v>
      </c>
      <c r="O5" s="347">
        <f>Pertes!O9/'Coeff''s perfo'!O23</f>
        <v>27.308762743275217</v>
      </c>
      <c r="P5" s="348">
        <f>Pertes!P9/'Coeff''s perfo'!P23</f>
        <v>19.037252152479518</v>
      </c>
    </row>
    <row r="6" spans="1:17" x14ac:dyDescent="0.25">
      <c r="A6" s="387" t="s">
        <v>91</v>
      </c>
      <c r="B6" s="350">
        <f>[1]Recap!$L$38</f>
        <v>9.2374320811537389E-2</v>
      </c>
      <c r="C6" s="351">
        <f>[2]Recap!$L$38</f>
        <v>7.6966161784992645E-2</v>
      </c>
      <c r="D6" s="351">
        <f>[3]Recap!$L$38</f>
        <v>4.1728153322544911E-2</v>
      </c>
      <c r="E6" s="351">
        <f>[4]Recap!$L$38</f>
        <v>5.1744622120926613E-2</v>
      </c>
      <c r="F6" s="351">
        <f>[5]Recap!$L$38</f>
        <v>9.5363472841258151E-2</v>
      </c>
      <c r="G6" s="351">
        <f>[6]Recap!$L$38</f>
        <v>9.5265982743073477E-2</v>
      </c>
      <c r="H6" s="351">
        <f>[7]Recap!$L$38</f>
        <v>0.10287433262255685</v>
      </c>
      <c r="I6" s="351">
        <f>[8]Recap!$L$38</f>
        <v>7.8261019105572857E-2</v>
      </c>
      <c r="J6" s="351">
        <f>[9]Recap!$L$38</f>
        <v>7.7380301204591356E-2</v>
      </c>
      <c r="K6" s="351">
        <f>[10]Recap!$L$38</f>
        <v>0.1076176218294741</v>
      </c>
      <c r="L6" s="351">
        <f>[11]Recap!$L$37</f>
        <v>3.6006653894440396E-2</v>
      </c>
      <c r="M6" s="351">
        <f>[12]Recap!$L$37</f>
        <v>4.5103415520396845E-2</v>
      </c>
      <c r="N6" s="351"/>
      <c r="O6" s="351"/>
      <c r="P6" s="352"/>
    </row>
    <row r="22" spans="1:24" s="15" customFormat="1" ht="48" x14ac:dyDescent="0.25">
      <c r="A22" s="384" t="s">
        <v>104</v>
      </c>
      <c r="B22" s="342" t="s">
        <v>5</v>
      </c>
      <c r="C22" s="342" t="s">
        <v>6</v>
      </c>
      <c r="D22" s="342" t="s">
        <v>7</v>
      </c>
      <c r="E22" s="342" t="s">
        <v>8</v>
      </c>
      <c r="F22" s="342" t="s">
        <v>9</v>
      </c>
      <c r="G22" s="342" t="s">
        <v>10</v>
      </c>
      <c r="H22" s="342" t="s">
        <v>11</v>
      </c>
      <c r="I22" s="342" t="s">
        <v>12</v>
      </c>
      <c r="J22" s="342" t="s">
        <v>13</v>
      </c>
      <c r="K22" s="342" t="s">
        <v>92</v>
      </c>
      <c r="L22" s="342" t="s">
        <v>15</v>
      </c>
      <c r="M22" s="342" t="s">
        <v>16</v>
      </c>
      <c r="N22" s="342" t="s">
        <v>17</v>
      </c>
      <c r="O22" s="342" t="s">
        <v>18</v>
      </c>
      <c r="P22" s="342" t="s">
        <v>19</v>
      </c>
      <c r="Q22"/>
      <c r="R22" s="447" t="s">
        <v>24</v>
      </c>
      <c r="S22" s="448"/>
      <c r="T22" s="449" t="s">
        <v>25</v>
      </c>
      <c r="U22" s="450"/>
      <c r="V22" s="450"/>
      <c r="W22" s="450"/>
      <c r="X22" s="450"/>
    </row>
    <row r="23" spans="1:24" x14ac:dyDescent="0.25">
      <c r="A23" s="380" t="s">
        <v>106</v>
      </c>
      <c r="O23" s="453" t="s">
        <v>105</v>
      </c>
      <c r="P23" s="454"/>
      <c r="R23" s="445" t="s">
        <v>27</v>
      </c>
      <c r="S23" s="446"/>
      <c r="T23" s="353" t="str">
        <f>'Réglages pertes'!U31</f>
        <v>Quelques pertes végétation; Taux de salissure assez fort augmente en 2022</v>
      </c>
    </row>
    <row r="24" spans="1:24" x14ac:dyDescent="0.25">
      <c r="A24" s="354" t="s">
        <v>93</v>
      </c>
      <c r="B24" s="355">
        <v>307.71219054434789</v>
      </c>
      <c r="C24" s="355">
        <v>398.53361783261596</v>
      </c>
      <c r="D24" s="355">
        <v>287.80073578026116</v>
      </c>
      <c r="E24" s="355">
        <v>291.92513922424467</v>
      </c>
      <c r="F24" s="355">
        <v>465.53912688748574</v>
      </c>
      <c r="G24" s="355">
        <v>485.17521243016552</v>
      </c>
      <c r="H24" s="355">
        <v>577.2998891365753</v>
      </c>
      <c r="I24" s="355">
        <v>204.90965527457075</v>
      </c>
      <c r="J24" s="355">
        <v>264.82924630354182</v>
      </c>
      <c r="K24" s="355">
        <v>347.9665634591189</v>
      </c>
      <c r="L24" s="355">
        <v>1251.2526360181862</v>
      </c>
      <c r="M24" s="355">
        <v>819.62758118477018</v>
      </c>
      <c r="N24" s="355">
        <v>624.69701963161526</v>
      </c>
      <c r="O24" s="388">
        <v>951.27891096122141</v>
      </c>
      <c r="P24" s="382">
        <v>232.07014735003369</v>
      </c>
      <c r="R24" s="445" t="s">
        <v>29</v>
      </c>
      <c r="S24" s="446" t="s">
        <v>29</v>
      </c>
      <c r="T24" s="353" t="str">
        <f>'Réglages pertes'!U32</f>
        <v>Taux de salissure assez faible augmente en 2022</v>
      </c>
    </row>
    <row r="25" spans="1:24" x14ac:dyDescent="0.25">
      <c r="A25" s="400" t="s">
        <v>94</v>
      </c>
      <c r="B25" s="357">
        <v>406.14784397678886</v>
      </c>
      <c r="C25" s="347">
        <v>630.2523492478756</v>
      </c>
      <c r="D25" s="347">
        <v>424.09237547474686</v>
      </c>
      <c r="E25" s="347">
        <v>449.05424587910392</v>
      </c>
      <c r="F25" s="347">
        <v>688.37379999128234</v>
      </c>
      <c r="G25" s="347">
        <v>693.83095899541468</v>
      </c>
      <c r="H25" s="357">
        <v>832.8645423455738</v>
      </c>
      <c r="I25" s="347">
        <v>306.15808387872084</v>
      </c>
      <c r="J25" s="347">
        <v>386.65641807049695</v>
      </c>
      <c r="K25" s="347">
        <v>520.26601506979546</v>
      </c>
      <c r="L25" s="347">
        <v>1874.8213214735852</v>
      </c>
      <c r="M25" s="347">
        <v>1149.4476653143772</v>
      </c>
      <c r="N25" s="347">
        <v>882.04684925671052</v>
      </c>
      <c r="O25" s="388">
        <v>1340.8119443946587</v>
      </c>
      <c r="P25" s="382">
        <v>326.98201496264647</v>
      </c>
      <c r="R25" s="445" t="s">
        <v>31</v>
      </c>
      <c r="S25" s="446" t="s">
        <v>31</v>
      </c>
      <c r="T25" s="353" t="str">
        <f>'Réglages pertes'!U33</f>
        <v>Taux de salissure assez faible augmente en 2022</v>
      </c>
    </row>
    <row r="26" spans="1:24" x14ac:dyDescent="0.25">
      <c r="A26" s="356" t="s">
        <v>95</v>
      </c>
      <c r="B26" s="357">
        <v>417.50458880240706</v>
      </c>
      <c r="C26" s="391">
        <v>771.77127387825226</v>
      </c>
      <c r="D26" s="357">
        <v>461.69268015542883</v>
      </c>
      <c r="E26" s="357">
        <v>500.57845410674616</v>
      </c>
      <c r="F26" s="391">
        <v>764.75847598716405</v>
      </c>
      <c r="G26" s="391">
        <v>774.27178513546403</v>
      </c>
      <c r="H26" s="391">
        <v>855.34183341064522</v>
      </c>
      <c r="I26" s="357">
        <v>339.96999411002605</v>
      </c>
      <c r="J26" s="357">
        <v>439.21629392554672</v>
      </c>
      <c r="K26" s="357">
        <v>584.85920880445622</v>
      </c>
      <c r="L26" s="357">
        <v>2078.8789989888533</v>
      </c>
      <c r="M26" s="357">
        <v>1217.4727773009772</v>
      </c>
      <c r="N26" s="357">
        <v>974.08004332440282</v>
      </c>
      <c r="O26" s="389">
        <v>1419.0438730030526</v>
      </c>
      <c r="P26" s="381">
        <v>346.33513229161952</v>
      </c>
      <c r="R26" s="445" t="s">
        <v>32</v>
      </c>
      <c r="S26" s="446" t="s">
        <v>32</v>
      </c>
      <c r="T26" s="353" t="str">
        <f>'Réglages pertes'!U34</f>
        <v>Faible taux de pertes PV et de salissure</v>
      </c>
    </row>
    <row r="27" spans="1:24" x14ac:dyDescent="0.25">
      <c r="A27" s="358" t="s">
        <v>96</v>
      </c>
      <c r="B27" s="359">
        <v>383.5771070600772</v>
      </c>
      <c r="C27" s="359">
        <v>737.44490032146132</v>
      </c>
      <c r="D27" s="359">
        <v>422.96729603879476</v>
      </c>
      <c r="E27" s="359">
        <v>480.63365159641324</v>
      </c>
      <c r="F27" s="359">
        <v>710.39151578592407</v>
      </c>
      <c r="G27" s="359">
        <v>733.58529538136838</v>
      </c>
      <c r="H27" s="359">
        <v>834.1454428798412</v>
      </c>
      <c r="I27" s="359">
        <v>331.54513228001707</v>
      </c>
      <c r="J27" s="359">
        <v>428.33199044606437</v>
      </c>
      <c r="K27" s="359">
        <v>570.36570023148704</v>
      </c>
      <c r="L27" s="359">
        <v>2034.2325815875743</v>
      </c>
      <c r="M27" s="359">
        <v>1194.2664930829749</v>
      </c>
      <c r="N27" s="359">
        <v>953.16050725824891</v>
      </c>
      <c r="O27" s="390">
        <v>1389.6436316174281</v>
      </c>
      <c r="P27" s="383">
        <v>338.89717034937098</v>
      </c>
      <c r="R27" s="445" t="s">
        <v>34</v>
      </c>
      <c r="S27" s="446" t="s">
        <v>34</v>
      </c>
      <c r="T27" s="360" t="str">
        <f>'Réglages pertes'!U35</f>
        <v>Fort taux de perte PV + 1/3 module; salissures assez fortes: 2eme position</v>
      </c>
    </row>
    <row r="28" spans="1:24" s="363" customFormat="1" x14ac:dyDescent="0.25">
      <c r="A28" s="361" t="s">
        <v>97</v>
      </c>
      <c r="B28" s="362">
        <f>[1]Recap!$M$32</f>
        <v>2</v>
      </c>
      <c r="C28" s="362">
        <f>[2]Recap!$M$32</f>
        <v>2</v>
      </c>
      <c r="D28" s="362">
        <f>[3]Recap!$M$32</f>
        <v>2</v>
      </c>
      <c r="E28" s="362">
        <f>[4]Recap!$M$32</f>
        <v>2</v>
      </c>
      <c r="F28" s="362">
        <f>[5]Recap!$M$32</f>
        <v>2</v>
      </c>
      <c r="G28" s="362">
        <f>[6]Recap!$M$32</f>
        <v>2</v>
      </c>
      <c r="H28" s="362">
        <f>[7]Recap!$M$32</f>
        <v>2</v>
      </c>
      <c r="I28" s="362">
        <f>[8]Recap!$M$32</f>
        <v>2</v>
      </c>
      <c r="J28" s="362">
        <f>[9]Recap!$M$32</f>
        <v>2</v>
      </c>
      <c r="K28" s="362">
        <f>[10]Recap!$M$32</f>
        <v>2</v>
      </c>
      <c r="L28" s="362">
        <f>[11]Recap!$M$32</f>
        <v>2</v>
      </c>
      <c r="M28" s="362">
        <f>[12]Recap!$M$32</f>
        <v>2</v>
      </c>
      <c r="N28" s="362">
        <f>[13]Recap!$M$32</f>
        <v>2</v>
      </c>
      <c r="O28" s="362">
        <f>[14]Recap!$M$32</f>
        <v>2</v>
      </c>
      <c r="P28" s="362">
        <f>[15]Recap!$M$32</f>
        <v>2</v>
      </c>
      <c r="R28" s="445" t="s">
        <v>36</v>
      </c>
      <c r="S28" s="446" t="s">
        <v>36</v>
      </c>
      <c r="T28" s="353" t="str">
        <f>'Réglages pertes'!U36</f>
        <v>RAS</v>
      </c>
    </row>
    <row r="29" spans="1:24" x14ac:dyDescent="0.25">
      <c r="A29" s="364" t="s">
        <v>107</v>
      </c>
      <c r="B29" s="365">
        <f>[1]Recap!$N$32</f>
        <v>395.58236011328904</v>
      </c>
      <c r="C29" s="365">
        <f>[2]Recap!$N$32</f>
        <v>550.83867850595084</v>
      </c>
      <c r="D29" s="365">
        <f>[3]Recap!$N$32</f>
        <v>367.9640105627181</v>
      </c>
      <c r="E29" s="365">
        <f>[4]Recap!$N$32</f>
        <v>436.2854295154043</v>
      </c>
      <c r="F29" s="365">
        <f>[5]Recap!$N$32</f>
        <v>644.66899384178487</v>
      </c>
      <c r="G29" s="365">
        <f>[6]Recap!$N$32</f>
        <v>708.65665682370093</v>
      </c>
      <c r="H29" s="365">
        <f>[7]Recap!$N$32</f>
        <v>687.01292231618118</v>
      </c>
      <c r="I29" s="365">
        <f>[8]Recap!$N$32</f>
        <v>413.72533230184501</v>
      </c>
      <c r="J29" s="365">
        <f>[9]Recap!$N$32</f>
        <v>467.78945856695742</v>
      </c>
      <c r="K29" s="365">
        <f>[10]Recap!$N$32</f>
        <v>519.82096853450264</v>
      </c>
      <c r="L29" s="365">
        <f>[11]Recap!$N$32</f>
        <v>1649.6341974357138</v>
      </c>
      <c r="M29" s="365">
        <f>[12]Recap!$N$32</f>
        <v>1063.3477125579875</v>
      </c>
      <c r="N29" s="365">
        <f>[13]Recap!$N$32</f>
        <v>668.53839055311244</v>
      </c>
      <c r="O29" s="365">
        <f>[14]Recap!$N$32</f>
        <v>1365.5362899450167</v>
      </c>
      <c r="P29" s="365">
        <f>[15]Recap!$N$32</f>
        <v>332.93112299158139</v>
      </c>
      <c r="R29" s="445" t="s">
        <v>38</v>
      </c>
      <c r="S29" s="446" t="s">
        <v>38</v>
      </c>
      <c r="T29" s="360" t="str">
        <f>'Réglages pertes'!U37</f>
        <v>Taux PV salissure et végétation sont les plus élevés!</v>
      </c>
    </row>
    <row r="30" spans="1:24" x14ac:dyDescent="0.25">
      <c r="R30" s="445" t="s">
        <v>40</v>
      </c>
      <c r="S30" s="446" t="s">
        <v>40</v>
      </c>
      <c r="T30" s="353" t="str">
        <f>'Réglages pertes'!U38</f>
        <v>Augmentation salissures depuis 2021 effacé par nettoyage 22</v>
      </c>
    </row>
    <row r="31" spans="1:24" x14ac:dyDescent="0.25">
      <c r="R31" s="445" t="s">
        <v>42</v>
      </c>
      <c r="S31" s="446" t="s">
        <v>42</v>
      </c>
      <c r="T31" s="353" t="str">
        <f>'Réglages pertes'!U39</f>
        <v>Légère augmentation taux de salissure en 2022 effacé par nettoyage 22</v>
      </c>
    </row>
    <row r="32" spans="1:24" x14ac:dyDescent="0.25">
      <c r="R32" s="445" t="s">
        <v>44</v>
      </c>
      <c r="S32" s="446" t="s">
        <v>45</v>
      </c>
      <c r="T32" s="353" t="str">
        <f>'Réglages pertes'!U40</f>
        <v>Forte augmentation salissures en 2021-22  effacé par nettoyage 22</v>
      </c>
    </row>
    <row r="33" spans="18:20" x14ac:dyDescent="0.25">
      <c r="R33" s="445" t="s">
        <v>47</v>
      </c>
      <c r="S33" s="446" t="s">
        <v>47</v>
      </c>
      <c r="T33" s="353" t="str">
        <f>'Réglages pertes'!U41</f>
        <v>Augmentation taux de salissure en 2022 effacé par nettoyage 22</v>
      </c>
    </row>
    <row r="34" spans="18:20" x14ac:dyDescent="0.25">
      <c r="R34" s="445" t="s">
        <v>49</v>
      </c>
      <c r="S34" s="446" t="s">
        <v>49</v>
      </c>
      <c r="T34" s="353" t="str">
        <f>'Réglages pertes'!U42</f>
        <v>Fort taux de salissure en 2021-22 effacé par nettoyage 22</v>
      </c>
    </row>
    <row r="35" spans="18:20" x14ac:dyDescent="0.25">
      <c r="R35" s="445" t="s">
        <v>51</v>
      </c>
      <c r="S35" s="446" t="s">
        <v>51</v>
      </c>
      <c r="T35" s="353" t="str">
        <f>'Réglages pertes'!U43</f>
        <v>Taux de salissure initialement le plus faible augmente en 2022</v>
      </c>
    </row>
  </sheetData>
  <mergeCells count="16">
    <mergeCell ref="R22:S22"/>
    <mergeCell ref="T22:X22"/>
    <mergeCell ref="R23:S23"/>
    <mergeCell ref="R24:S24"/>
    <mergeCell ref="R25:S25"/>
    <mergeCell ref="O23:P23"/>
    <mergeCell ref="R33:S33"/>
    <mergeCell ref="R34:S34"/>
    <mergeCell ref="R35:S35"/>
    <mergeCell ref="R27:S27"/>
    <mergeCell ref="R28:S28"/>
    <mergeCell ref="R29:S29"/>
    <mergeCell ref="R30:S30"/>
    <mergeCell ref="R31:S31"/>
    <mergeCell ref="R32:S32"/>
    <mergeCell ref="R26:S2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9"/>
  <sheetViews>
    <sheetView workbookViewId="0"/>
  </sheetViews>
  <sheetFormatPr baseColWidth="10" defaultRowHeight="15" x14ac:dyDescent="0.25"/>
  <cols>
    <col min="1" max="1" width="9.5703125" customWidth="1"/>
    <col min="2" max="16" width="8.42578125" customWidth="1"/>
    <col min="17" max="17" width="6.42578125" style="269" customWidth="1"/>
    <col min="18" max="18" width="1.42578125" style="4" customWidth="1"/>
    <col min="19" max="19" width="6.85546875" style="273" customWidth="1"/>
    <col min="20" max="20" width="8.28515625" customWidth="1"/>
    <col min="21" max="35" width="8.42578125" style="272" customWidth="1"/>
  </cols>
  <sheetData>
    <row r="1" spans="1:35" ht="18.75" x14ac:dyDescent="0.3">
      <c r="A1" s="1" t="s">
        <v>71</v>
      </c>
      <c r="S1" s="270" t="s">
        <v>72</v>
      </c>
      <c r="T1" s="271">
        <v>15</v>
      </c>
    </row>
    <row r="3" spans="1:35" ht="33.75" x14ac:dyDescent="0.25">
      <c r="A3" s="274" t="s">
        <v>73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T3" s="275" t="s">
        <v>73</v>
      </c>
      <c r="U3" s="12" t="s">
        <v>5</v>
      </c>
      <c r="V3" s="12" t="s">
        <v>6</v>
      </c>
      <c r="W3" s="12" t="s">
        <v>7</v>
      </c>
      <c r="X3" s="12" t="s">
        <v>8</v>
      </c>
      <c r="Y3" s="12" t="s">
        <v>9</v>
      </c>
      <c r="Z3" s="12" t="s">
        <v>10</v>
      </c>
      <c r="AA3" s="12" t="s">
        <v>11</v>
      </c>
      <c r="AB3" s="12" t="s">
        <v>12</v>
      </c>
      <c r="AC3" s="12" t="s">
        <v>13</v>
      </c>
      <c r="AD3" s="12" t="s">
        <v>14</v>
      </c>
      <c r="AE3" s="12" t="s">
        <v>15</v>
      </c>
      <c r="AF3" s="12" t="s">
        <v>16</v>
      </c>
      <c r="AG3" s="12" t="s">
        <v>17</v>
      </c>
      <c r="AH3" s="12" t="s">
        <v>18</v>
      </c>
      <c r="AI3" s="12" t="s">
        <v>19</v>
      </c>
    </row>
    <row r="4" spans="1:35" s="272" customFormat="1" ht="11.25" x14ac:dyDescent="0.2">
      <c r="A4" s="276" t="s">
        <v>74</v>
      </c>
      <c r="B4" s="277">
        <f t="shared" ref="B4:P4" si="0">+MIN(B8:B19)</f>
        <v>0.70839375827997653</v>
      </c>
      <c r="C4" s="277">
        <f t="shared" si="0"/>
        <v>0.90057185341568324</v>
      </c>
      <c r="D4" s="277">
        <f>+MIN(D8:D19)</f>
        <v>0.93567266755701928</v>
      </c>
      <c r="E4" s="277">
        <f t="shared" si="0"/>
        <v>0.99105866745925342</v>
      </c>
      <c r="F4" s="277">
        <f t="shared" si="0"/>
        <v>0.63149542381510937</v>
      </c>
      <c r="G4" s="277">
        <f t="shared" si="0"/>
        <v>0.75844055184706283</v>
      </c>
      <c r="H4" s="277">
        <f t="shared" si="0"/>
        <v>0.68271114301959734</v>
      </c>
      <c r="I4" s="277">
        <f t="shared" si="0"/>
        <v>0.96563589521266624</v>
      </c>
      <c r="J4" s="277">
        <f t="shared" si="0"/>
        <v>1.0057301176396942</v>
      </c>
      <c r="K4" s="277">
        <f t="shared" si="0"/>
        <v>0.98589047375623828</v>
      </c>
      <c r="L4" s="277">
        <f t="shared" si="0"/>
        <v>1.0367665049546859</v>
      </c>
      <c r="M4" s="277">
        <f t="shared" si="0"/>
        <v>1.0193379385347998</v>
      </c>
      <c r="N4" s="278">
        <f t="shared" si="0"/>
        <v>1.0804618782969904</v>
      </c>
      <c r="O4" s="278">
        <f t="shared" si="0"/>
        <v>1.0245154684347726</v>
      </c>
      <c r="P4" s="278">
        <f t="shared" si="0"/>
        <v>0.78484090587362754</v>
      </c>
      <c r="Q4" s="279"/>
      <c r="T4" s="280" t="s">
        <v>74</v>
      </c>
      <c r="U4" s="281">
        <f t="shared" ref="U4:AI4" si="1">+MIN(U8:U19)</f>
        <v>1.7336989716275146</v>
      </c>
      <c r="V4" s="281">
        <f t="shared" si="1"/>
        <v>2.6439990622971727</v>
      </c>
      <c r="W4" s="281">
        <f>+MIN(W8:W19)</f>
        <v>2.6056088428202466</v>
      </c>
      <c r="X4" s="281">
        <f t="shared" si="1"/>
        <v>2.5495610585938944</v>
      </c>
      <c r="Y4" s="281">
        <f t="shared" si="1"/>
        <v>1.5956184462332559</v>
      </c>
      <c r="Z4" s="281">
        <f t="shared" si="1"/>
        <v>1.8641624189385739</v>
      </c>
      <c r="AA4" s="281">
        <f t="shared" si="1"/>
        <v>1.6737668030689588</v>
      </c>
      <c r="AB4" s="281">
        <f t="shared" si="1"/>
        <v>2.7205153444219055</v>
      </c>
      <c r="AC4" s="281">
        <f t="shared" si="1"/>
        <v>2.5777020953999492</v>
      </c>
      <c r="AD4" s="281">
        <f t="shared" si="1"/>
        <v>2.9581037863221691</v>
      </c>
      <c r="AE4" s="281">
        <f t="shared" si="1"/>
        <v>2.7550375107952818</v>
      </c>
      <c r="AF4" s="281">
        <f t="shared" si="1"/>
        <v>2.8371503789140773</v>
      </c>
      <c r="AG4" s="281">
        <f t="shared" si="1"/>
        <v>2.9319152759041005</v>
      </c>
      <c r="AH4" s="281">
        <f t="shared" si="1"/>
        <v>2.6391249925482336</v>
      </c>
      <c r="AI4" s="281">
        <f t="shared" si="1"/>
        <v>1.9108614027620487</v>
      </c>
    </row>
    <row r="5" spans="1:35" s="272" customFormat="1" ht="11.25" x14ac:dyDescent="0.2">
      <c r="A5" s="282" t="s">
        <v>75</v>
      </c>
      <c r="B5" s="277">
        <f t="shared" ref="B5:P5" si="2">+AVERAGE(B8:B19)</f>
        <v>0.92360948868658965</v>
      </c>
      <c r="C5" s="277">
        <f t="shared" si="2"/>
        <v>0.99279795351168731</v>
      </c>
      <c r="D5" s="277">
        <f>+AVERAGE(D8:D19)</f>
        <v>1.0127054582908281</v>
      </c>
      <c r="E5" s="277">
        <f t="shared" si="2"/>
        <v>1.0168413822246902</v>
      </c>
      <c r="F5" s="277">
        <f t="shared" si="2"/>
        <v>0.78421343076204131</v>
      </c>
      <c r="G5" s="277">
        <f t="shared" si="2"/>
        <v>0.87340250234428651</v>
      </c>
      <c r="H5" s="277">
        <f t="shared" si="2"/>
        <v>0.86009213378732985</v>
      </c>
      <c r="I5" s="277">
        <f t="shared" si="2"/>
        <v>1.0513944768896348</v>
      </c>
      <c r="J5" s="277">
        <f t="shared" si="2"/>
        <v>1.0437014872664672</v>
      </c>
      <c r="K5" s="277">
        <f t="shared" si="2"/>
        <v>1.1018111387744556</v>
      </c>
      <c r="L5" s="277">
        <f t="shared" si="2"/>
        <v>1.0809521012637793</v>
      </c>
      <c r="M5" s="277">
        <f t="shared" si="2"/>
        <v>1.0971710945860729</v>
      </c>
      <c r="N5" s="278">
        <f t="shared" si="2"/>
        <v>1.1463760841046244</v>
      </c>
      <c r="O5" s="278">
        <f t="shared" si="2"/>
        <v>1.0692645570920574</v>
      </c>
      <c r="P5" s="278">
        <f t="shared" si="2"/>
        <v>0.96110332308660906</v>
      </c>
      <c r="Q5" s="279"/>
      <c r="T5" s="283" t="s">
        <v>75</v>
      </c>
      <c r="U5" s="281">
        <f t="shared" ref="U5:AI5" si="3">+AVERAGE(U8:U19)</f>
        <v>4.5998531591760292</v>
      </c>
      <c r="V5" s="281">
        <f t="shared" si="3"/>
        <v>4.6741526659538053</v>
      </c>
      <c r="W5" s="281">
        <f>+AVERAGE(W8:W19)</f>
        <v>4.79304727305753</v>
      </c>
      <c r="X5" s="281">
        <f t="shared" si="3"/>
        <v>4.855350134509175</v>
      </c>
      <c r="Y5" s="281">
        <f t="shared" si="3"/>
        <v>3.9759947936279851</v>
      </c>
      <c r="Z5" s="281">
        <f t="shared" si="3"/>
        <v>4.3627610375368491</v>
      </c>
      <c r="AA5" s="281">
        <f t="shared" si="3"/>
        <v>4.3328811590055656</v>
      </c>
      <c r="AB5" s="281">
        <f t="shared" si="3"/>
        <v>4.9509593689414233</v>
      </c>
      <c r="AC5" s="281">
        <f t="shared" si="3"/>
        <v>4.97590670247539</v>
      </c>
      <c r="AD5" s="281">
        <f t="shared" si="3"/>
        <v>5.1390556532641476</v>
      </c>
      <c r="AE5" s="281">
        <f t="shared" si="3"/>
        <v>5.1263093326450742</v>
      </c>
      <c r="AF5" s="281">
        <f t="shared" si="3"/>
        <v>5.1718433501031669</v>
      </c>
      <c r="AG5" s="281">
        <f t="shared" si="3"/>
        <v>5.3959518487610545</v>
      </c>
      <c r="AH5" s="281">
        <f t="shared" si="3"/>
        <v>5.0887540894176517</v>
      </c>
      <c r="AI5" s="281">
        <f t="shared" si="3"/>
        <v>4.770425636714636</v>
      </c>
    </row>
    <row r="6" spans="1:35" s="272" customFormat="1" ht="11.25" x14ac:dyDescent="0.2">
      <c r="A6" s="282" t="s">
        <v>76</v>
      </c>
      <c r="B6" s="277">
        <f t="shared" ref="B6:P6" si="4">+MAX(B8:B19)</f>
        <v>1.0138489318352009</v>
      </c>
      <c r="C6" s="277">
        <f t="shared" si="4"/>
        <v>1.112064332448554</v>
      </c>
      <c r="D6" s="277">
        <f>+MAX(D8:D19)</f>
        <v>1.0924586306933635</v>
      </c>
      <c r="E6" s="277">
        <f>+MAX(E8:E19)</f>
        <v>1.0671681067482683</v>
      </c>
      <c r="F6" s="277">
        <f t="shared" si="4"/>
        <v>0.92785973946608635</v>
      </c>
      <c r="G6" s="277">
        <f t="shared" si="4"/>
        <v>0.98901567199767215</v>
      </c>
      <c r="H6" s="277">
        <f t="shared" si="4"/>
        <v>0.98718164030331634</v>
      </c>
      <c r="I6" s="277">
        <f t="shared" si="4"/>
        <v>1.1445744322139002</v>
      </c>
      <c r="J6" s="277">
        <f t="shared" si="4"/>
        <v>1.0798556244853896</v>
      </c>
      <c r="K6" s="277">
        <f t="shared" si="4"/>
        <v>1.2534822700163588</v>
      </c>
      <c r="L6" s="277">
        <f t="shared" si="4"/>
        <v>1.1603023318191998</v>
      </c>
      <c r="M6" s="277">
        <f t="shared" si="4"/>
        <v>1.1978435884217447</v>
      </c>
      <c r="N6" s="284">
        <f t="shared" si="4"/>
        <v>1.2414010042311916</v>
      </c>
      <c r="O6" s="284">
        <f t="shared" si="4"/>
        <v>1.107622778162427</v>
      </c>
      <c r="P6" s="284">
        <f t="shared" si="4"/>
        <v>1.0724098188325131</v>
      </c>
      <c r="Q6" s="279"/>
      <c r="T6" s="283" t="s">
        <v>76</v>
      </c>
      <c r="U6" s="281">
        <f t="shared" ref="U6:AI6" si="5">+MAX(U8:U19)</f>
        <v>6.7838233147262308</v>
      </c>
      <c r="V6" s="281">
        <f t="shared" si="5"/>
        <v>6.2802665902210322</v>
      </c>
      <c r="W6" s="281">
        <f>+MAX(W8:W19)</f>
        <v>6.4073576662790908</v>
      </c>
      <c r="X6" s="281">
        <f t="shared" si="5"/>
        <v>6.6928539671262826</v>
      </c>
      <c r="Y6" s="281">
        <f t="shared" si="5"/>
        <v>6.250164322940174</v>
      </c>
      <c r="Z6" s="281">
        <f t="shared" si="5"/>
        <v>6.6349355777214116</v>
      </c>
      <c r="AA6" s="281">
        <f t="shared" si="5"/>
        <v>6.6234421799249459</v>
      </c>
      <c r="AB6" s="281">
        <f t="shared" si="5"/>
        <v>6.5734415922569092</v>
      </c>
      <c r="AC6" s="281">
        <f t="shared" si="5"/>
        <v>6.7947117177172061</v>
      </c>
      <c r="AD6" s="281">
        <f t="shared" si="5"/>
        <v>6.7140956215336569</v>
      </c>
      <c r="AE6" s="281">
        <f t="shared" si="5"/>
        <v>7.0038625513232917</v>
      </c>
      <c r="AF6" s="281">
        <f t="shared" si="5"/>
        <v>6.9294451120895957</v>
      </c>
      <c r="AG6" s="281">
        <f t="shared" si="5"/>
        <v>7.2405440404946475</v>
      </c>
      <c r="AH6" s="281">
        <f t="shared" si="5"/>
        <v>6.9515379355347555</v>
      </c>
      <c r="AI6" s="281">
        <f t="shared" si="5"/>
        <v>7.1545897858096703</v>
      </c>
    </row>
    <row r="7" spans="1:35" ht="38.25" x14ac:dyDescent="0.25">
      <c r="A7" s="285" t="s">
        <v>77</v>
      </c>
      <c r="B7" s="286" t="s">
        <v>78</v>
      </c>
      <c r="C7" s="286" t="s">
        <v>78</v>
      </c>
      <c r="D7" s="286" t="s">
        <v>78</v>
      </c>
      <c r="E7" s="286" t="s">
        <v>78</v>
      </c>
      <c r="F7" s="286" t="s">
        <v>78</v>
      </c>
      <c r="G7" s="286" t="s">
        <v>78</v>
      </c>
      <c r="H7" s="286" t="s">
        <v>78</v>
      </c>
      <c r="I7" s="286" t="s">
        <v>78</v>
      </c>
      <c r="J7" s="286" t="s">
        <v>78</v>
      </c>
      <c r="K7" s="286" t="s">
        <v>78</v>
      </c>
      <c r="L7" s="286" t="s">
        <v>78</v>
      </c>
      <c r="M7" s="286" t="s">
        <v>78</v>
      </c>
      <c r="N7" s="286" t="s">
        <v>78</v>
      </c>
      <c r="O7" s="286" t="s">
        <v>78</v>
      </c>
      <c r="P7" s="286" t="s">
        <v>78</v>
      </c>
      <c r="Q7" s="269" t="s">
        <v>79</v>
      </c>
      <c r="S7" s="287" t="s">
        <v>77</v>
      </c>
      <c r="T7" s="288" t="s">
        <v>80</v>
      </c>
      <c r="U7" s="289" t="s">
        <v>81</v>
      </c>
      <c r="V7" s="289" t="s">
        <v>81</v>
      </c>
      <c r="W7" s="289" t="s">
        <v>81</v>
      </c>
      <c r="X7" s="289" t="s">
        <v>81</v>
      </c>
      <c r="Y7" s="289" t="s">
        <v>81</v>
      </c>
      <c r="Z7" s="289" t="s">
        <v>81</v>
      </c>
      <c r="AA7" s="289" t="s">
        <v>81</v>
      </c>
      <c r="AB7" s="289" t="s">
        <v>81</v>
      </c>
      <c r="AC7" s="289" t="s">
        <v>81</v>
      </c>
      <c r="AD7" s="289" t="s">
        <v>81</v>
      </c>
      <c r="AE7" s="289" t="s">
        <v>81</v>
      </c>
      <c r="AF7" s="289" t="s">
        <v>81</v>
      </c>
      <c r="AG7" s="289" t="s">
        <v>81</v>
      </c>
      <c r="AH7" s="289" t="s">
        <v>81</v>
      </c>
      <c r="AI7" s="289" t="s">
        <v>81</v>
      </c>
    </row>
    <row r="8" spans="1:35" s="298" customFormat="1" x14ac:dyDescent="0.25">
      <c r="A8" s="290">
        <v>44941</v>
      </c>
      <c r="B8" s="291">
        <f>+U8/($T8-U8)*(Nserv-1)</f>
        <v>0.79993251625900252</v>
      </c>
      <c r="C8" s="292">
        <f t="shared" ref="C8:C19" si="6">+V8/($T8-V8)*(Nserv-1)</f>
        <v>1.112064332448554</v>
      </c>
      <c r="D8" s="292">
        <f t="shared" ref="D8:D19" si="7">+W8/($T8-W8)*(Nserv-1)</f>
        <v>1.0769483177613364</v>
      </c>
      <c r="E8" s="292">
        <f t="shared" ref="E8:E19" si="8">+X8/($T8-X8)*(Nserv-1)</f>
        <v>1.0632850098393949</v>
      </c>
      <c r="F8" s="292">
        <f t="shared" ref="F8:F19" si="9">+Y8/($T8-Y8)*(Nserv-1)</f>
        <v>0.68684150967498392</v>
      </c>
      <c r="G8" s="292">
        <f t="shared" ref="G8:G19" si="10">+Z8/($T8-Z8)*(Nserv-1)</f>
        <v>0.75844055184706283</v>
      </c>
      <c r="H8" s="292">
        <f t="shared" ref="H8:H19" si="11">+AA8/($T8-AA8)*(Nserv-1)</f>
        <v>0.71862901480896146</v>
      </c>
      <c r="I8" s="292">
        <f t="shared" ref="I8:I19" si="12">+AB8/($T8-AB8)*(Nserv-1)</f>
        <v>1.1382598099473906</v>
      </c>
      <c r="J8" s="292">
        <f t="shared" ref="J8:J19" si="13">+AC8/($T8-AC8)*(Nserv-1)</f>
        <v>1.0708879034215641</v>
      </c>
      <c r="K8" s="292">
        <f t="shared" ref="K8:K19" si="14">+AD8/($T8-AD8)*(Nserv-1)</f>
        <v>1.2226075513540289</v>
      </c>
      <c r="L8" s="292">
        <f t="shared" ref="L8:L19" si="15">+AE8/($T8-AE8)*(Nserv-1)</f>
        <v>1.1203342049561926</v>
      </c>
      <c r="M8" s="292">
        <f t="shared" ref="M8:M19" si="16">+AF8/($T8-AF8)*(Nserv-1)</f>
        <v>1.1627542981956522</v>
      </c>
      <c r="N8" s="292">
        <f>+AG8/($T8-AG8)*(Nserv-1)</f>
        <v>1.1934522712247919</v>
      </c>
      <c r="O8" s="292">
        <f>+AH8/($T8-AH8)*(Nserv-1)</f>
        <v>1.0987937419081146</v>
      </c>
      <c r="P8" s="293">
        <f>+AI8/($T8-AI8)*(Nserv-1)</f>
        <v>0.81007433750070368</v>
      </c>
      <c r="Q8" s="269">
        <f>AVERAGE(B8:P8)</f>
        <v>1.0022203580765157</v>
      </c>
      <c r="R8" s="294"/>
      <c r="S8" s="295">
        <v>44941</v>
      </c>
      <c r="T8" s="296">
        <f>SUM(U8:AI8)</f>
        <v>42.110410756468951</v>
      </c>
      <c r="U8" s="297">
        <f>[1]Recap!$B$66</f>
        <v>2.2760567860776364</v>
      </c>
      <c r="V8" s="297">
        <f>[2]Recap!$B$66</f>
        <v>3.0988146157156704</v>
      </c>
      <c r="W8" s="297">
        <f>[3]Recap!$B$66</f>
        <v>3.0079519454870631</v>
      </c>
      <c r="X8" s="297">
        <f>[4]Recap!$B$66</f>
        <v>2.9724836572026359</v>
      </c>
      <c r="Y8" s="297">
        <f>[5]Recap!$B$66</f>
        <v>1.9693259492147186</v>
      </c>
      <c r="Z8" s="297">
        <f>[6]Recap!$B$66</f>
        <v>2.1640662548622478</v>
      </c>
      <c r="AA8" s="297">
        <f>[7]Recap!$B$66</f>
        <v>2.0560177829521002</v>
      </c>
      <c r="AB8" s="297">
        <f>[8]Recap!$B$65</f>
        <v>3.1663208814112349</v>
      </c>
      <c r="AC8" s="297">
        <f>[9]Recap!$B$65</f>
        <v>2.9922277822116787</v>
      </c>
      <c r="AD8" s="297">
        <f>[10]Recap!$B$65</f>
        <v>3.3821082234297886</v>
      </c>
      <c r="AE8" s="297">
        <f>[11]Recap!$B$64</f>
        <v>3.120151506953019</v>
      </c>
      <c r="AF8" s="297">
        <f>[12]Recap!$B$64</f>
        <v>3.229232640912433</v>
      </c>
      <c r="AG8" s="297">
        <f>[13]Recap!$B$64</f>
        <v>3.3077910446132872</v>
      </c>
      <c r="AH8" s="297">
        <f>[14]Recap!$B$62</f>
        <v>3.0645266502289985</v>
      </c>
      <c r="AI8" s="297">
        <f>[15]Recap!$B$62</f>
        <v>2.303335035196441</v>
      </c>
    </row>
    <row r="9" spans="1:35" s="298" customFormat="1" x14ac:dyDescent="0.25">
      <c r="A9" s="299">
        <v>44972</v>
      </c>
      <c r="B9" s="300">
        <f t="shared" ref="B9:B19" si="17">+U9/($T9-U9)*(Nserv-1)</f>
        <v>0.89968684227919937</v>
      </c>
      <c r="C9" s="301">
        <f t="shared" si="6"/>
        <v>1.0484182360045187</v>
      </c>
      <c r="D9" s="301">
        <f t="shared" si="7"/>
        <v>1.0551748811310635</v>
      </c>
      <c r="E9" s="301">
        <f t="shared" si="8"/>
        <v>1.0284093768134146</v>
      </c>
      <c r="F9" s="301">
        <f t="shared" si="9"/>
        <v>0.71047620667855482</v>
      </c>
      <c r="G9" s="301">
        <f t="shared" si="10"/>
        <v>0.78312211758705541</v>
      </c>
      <c r="H9" s="301">
        <f t="shared" si="11"/>
        <v>0.79751160774081609</v>
      </c>
      <c r="I9" s="301">
        <f t="shared" si="12"/>
        <v>1.1152916992561164</v>
      </c>
      <c r="J9" s="301">
        <f t="shared" si="13"/>
        <v>1.0643682108900141</v>
      </c>
      <c r="K9" s="301">
        <f t="shared" si="14"/>
        <v>1.1764670704936757</v>
      </c>
      <c r="L9" s="301">
        <f t="shared" si="15"/>
        <v>1.0891359705227388</v>
      </c>
      <c r="M9" s="301">
        <f t="shared" si="16"/>
        <v>1.1161057551442015</v>
      </c>
      <c r="N9" s="301">
        <f t="shared" ref="N9:N19" si="18">+AG9/($T9-AG9)*(Nserv-1)</f>
        <v>1.1583418341323386</v>
      </c>
      <c r="O9" s="301">
        <f t="shared" ref="O9:O19" si="19">+AH9/($T9-AH9)*(Nserv-1)</f>
        <v>1.0891189000569148</v>
      </c>
      <c r="P9" s="302">
        <f t="shared" ref="P9:P19" si="20">+AI9/($T9-AI9)*(Nserv-1)</f>
        <v>0.88874556750451217</v>
      </c>
      <c r="Q9" s="269">
        <f t="shared" ref="Q9:Q19" si="21">AVERAGE(B9:P9)</f>
        <v>1.0013582850823421</v>
      </c>
      <c r="R9" s="294"/>
      <c r="S9" s="295">
        <v>44972</v>
      </c>
      <c r="T9" s="296">
        <f t="shared" ref="T9:T19" si="22">SUM(U9:AI9)</f>
        <v>57.29076962008989</v>
      </c>
      <c r="U9" s="303">
        <f>[1]Recap!$C$66</f>
        <v>3.4593848955928208</v>
      </c>
      <c r="V9" s="303">
        <f>[2]Recap!$C$66</f>
        <v>3.9914286460171899</v>
      </c>
      <c r="W9" s="303">
        <f>[3]Recap!$C$66</f>
        <v>4.015348974760224</v>
      </c>
      <c r="X9" s="303">
        <f>[4]Recap!$C$66</f>
        <v>3.9204657795029028</v>
      </c>
      <c r="Y9" s="303">
        <f>[5]Recap!$C$66</f>
        <v>2.7669891922939223</v>
      </c>
      <c r="Z9" s="303">
        <f>[6]Recap!$C$66</f>
        <v>3.0349251305785767</v>
      </c>
      <c r="AA9" s="303">
        <f>[7]Recap!$C$66</f>
        <v>3.0876849432255482</v>
      </c>
      <c r="AB9" s="303">
        <f>[8]Recap!$C$65</f>
        <v>4.2272369645651837</v>
      </c>
      <c r="AC9" s="303">
        <f>[9]Recap!$C$65</f>
        <v>4.0478613578341625</v>
      </c>
      <c r="AD9" s="303">
        <f>[10]Recap!$C$65</f>
        <v>4.4411326818160948</v>
      </c>
      <c r="AE9" s="303">
        <f>[11]Recap!$C$64</f>
        <v>4.1352558618377664</v>
      </c>
      <c r="AF9" s="303">
        <f>[12]Recap!$C$64</f>
        <v>4.2300946239319908</v>
      </c>
      <c r="AG9" s="303">
        <f>[13]Recap!$C$64</f>
        <v>4.3779389518158833</v>
      </c>
      <c r="AH9" s="303">
        <f>[14]Recap!$C$62</f>
        <v>4.1351957264920927</v>
      </c>
      <c r="AI9" s="303">
        <f>[15]Recap!$C$62</f>
        <v>3.4198258898255309</v>
      </c>
    </row>
    <row r="10" spans="1:35" s="298" customFormat="1" x14ac:dyDescent="0.25">
      <c r="A10" s="299">
        <v>45000</v>
      </c>
      <c r="B10" s="300">
        <f>+U10/($T10-U10)*(Nserv-1)</f>
        <v>0.96667416439537956</v>
      </c>
      <c r="C10" s="301">
        <f>+V10/($T10-V10)*(Nserv-1)</f>
        <v>0.97323956731039307</v>
      </c>
      <c r="D10" s="301">
        <f t="shared" si="7"/>
        <v>1.0127410527004905</v>
      </c>
      <c r="E10" s="301">
        <f>+X10/($T10-X10)*(Nserv-1)</f>
        <v>1.0011659412841269</v>
      </c>
      <c r="F10" s="301">
        <f t="shared" si="9"/>
        <v>0.76462515110223239</v>
      </c>
      <c r="G10" s="301">
        <f t="shared" si="10"/>
        <v>0.83950116328515556</v>
      </c>
      <c r="H10" s="301">
        <f t="shared" si="11"/>
        <v>0.88740534549271466</v>
      </c>
      <c r="I10" s="301">
        <f t="shared" si="12"/>
        <v>1.0779541186717183</v>
      </c>
      <c r="J10" s="301">
        <f t="shared" si="13"/>
        <v>1.0508963433029028</v>
      </c>
      <c r="K10" s="301">
        <f t="shared" si="14"/>
        <v>1.1188813858508708</v>
      </c>
      <c r="L10" s="301">
        <f t="shared" si="15"/>
        <v>1.0614146435705856</v>
      </c>
      <c r="M10" s="301">
        <f t="shared" si="16"/>
        <v>1.0960127479579131</v>
      </c>
      <c r="N10" s="301">
        <f t="shared" si="18"/>
        <v>1.1291138212683443</v>
      </c>
      <c r="O10" s="301">
        <f t="shared" si="19"/>
        <v>1.0681198384241697</v>
      </c>
      <c r="P10" s="302">
        <f t="shared" si="20"/>
        <v>0.96260171619493584</v>
      </c>
      <c r="Q10" s="269">
        <f t="shared" si="21"/>
        <v>1.0006898000541289</v>
      </c>
      <c r="R10" s="294"/>
      <c r="S10" s="295">
        <v>45000</v>
      </c>
      <c r="T10" s="296">
        <f t="shared" si="22"/>
        <v>74.654213228047709</v>
      </c>
      <c r="U10" s="303">
        <f>[1]Recap!$D$66</f>
        <v>4.8217993121341438</v>
      </c>
      <c r="V10" s="303">
        <f>[2]Recap!$D$66</f>
        <v>4.8524191343726741</v>
      </c>
      <c r="W10" s="303">
        <f>[3]Recap!$D$66</f>
        <v>5.0360814342761229</v>
      </c>
      <c r="X10" s="303">
        <f>[4]Recap!$D$66</f>
        <v>4.9823631009634912</v>
      </c>
      <c r="Y10" s="303">
        <f>[5]Recap!$D$66</f>
        <v>3.8661658176708156</v>
      </c>
      <c r="Z10" s="303">
        <f>[6]Recap!$D$66</f>
        <v>4.2233426959218461</v>
      </c>
      <c r="AA10" s="303">
        <f>[7]Recap!$D$66</f>
        <v>4.4499727349856686</v>
      </c>
      <c r="AB10" s="303">
        <f>[8]Recap!$D$65</f>
        <v>5.3371840763009297</v>
      </c>
      <c r="AC10" s="303">
        <f>[9]Recap!$D$65</f>
        <v>5.2125692652464251</v>
      </c>
      <c r="AD10" s="303">
        <f>[10]Recap!$D$65</f>
        <v>5.5248273615253005</v>
      </c>
      <c r="AE10" s="303">
        <f>[11]Recap!$D$64</f>
        <v>5.2610645812288492</v>
      </c>
      <c r="AF10" s="303">
        <f>[12]Recap!$D$64</f>
        <v>5.4201046827929362</v>
      </c>
      <c r="AG10" s="303">
        <f>[13]Recap!$D$64</f>
        <v>5.5715823786852861</v>
      </c>
      <c r="AH10" s="303">
        <f>[14]Recap!$D$62</f>
        <v>5.291943986766503</v>
      </c>
      <c r="AI10" s="303">
        <f>[15]Recap!$D$62</f>
        <v>4.8027926651767041</v>
      </c>
    </row>
    <row r="11" spans="1:35" s="298" customFormat="1" x14ac:dyDescent="0.25">
      <c r="A11" s="299">
        <v>45031</v>
      </c>
      <c r="B11" s="300">
        <f t="shared" si="17"/>
        <v>0.97660532074893203</v>
      </c>
      <c r="C11" s="301">
        <f t="shared" si="6"/>
        <v>0.9157296275125717</v>
      </c>
      <c r="D11" s="301">
        <f t="shared" si="7"/>
        <v>0.97928067272388131</v>
      </c>
      <c r="E11" s="301">
        <f t="shared" si="8"/>
        <v>0.99656008430116949</v>
      </c>
      <c r="F11" s="301">
        <f t="shared" si="9"/>
        <v>0.82823929427977927</v>
      </c>
      <c r="G11" s="301">
        <f t="shared" si="10"/>
        <v>0.90488284825974408</v>
      </c>
      <c r="H11" s="301">
        <f t="shared" si="11"/>
        <v>0.95822463270063885</v>
      </c>
      <c r="I11" s="301">
        <f t="shared" si="12"/>
        <v>1.0377413879914152</v>
      </c>
      <c r="J11" s="301">
        <f t="shared" si="13"/>
        <v>1.0487899401031193</v>
      </c>
      <c r="K11" s="301">
        <f t="shared" si="14"/>
        <v>1.067576822674656</v>
      </c>
      <c r="L11" s="301">
        <f t="shared" si="15"/>
        <v>1.0451080387346725</v>
      </c>
      <c r="M11" s="301">
        <f t="shared" si="16"/>
        <v>1.0695047316576927</v>
      </c>
      <c r="N11" s="301">
        <f t="shared" si="18"/>
        <v>1.0938719441847269</v>
      </c>
      <c r="O11" s="301">
        <f t="shared" si="19"/>
        <v>1.0459666466441295</v>
      </c>
      <c r="P11" s="302">
        <f t="shared" si="20"/>
        <v>1.0370004275050253</v>
      </c>
      <c r="Q11" s="269">
        <f t="shared" si="21"/>
        <v>1.0003388280014771</v>
      </c>
      <c r="R11" s="294"/>
      <c r="S11" s="295">
        <v>45031</v>
      </c>
      <c r="T11" s="296">
        <f t="shared" si="22"/>
        <v>89.138288281778529</v>
      </c>
      <c r="U11" s="303">
        <f>[1]Recap!$E$66</f>
        <v>5.8125940260862698</v>
      </c>
      <c r="V11" s="303">
        <f>[2]Recap!$E$66</f>
        <v>5.4725161667464324</v>
      </c>
      <c r="W11" s="303">
        <f>[3]Recap!$E$66</f>
        <v>5.8274762868277294</v>
      </c>
      <c r="X11" s="303">
        <f>[4]Recap!$E$66</f>
        <v>5.923469087923884</v>
      </c>
      <c r="Y11" s="303">
        <f>[5]Recap!$E$66</f>
        <v>4.9788671139322647</v>
      </c>
      <c r="Z11" s="303">
        <f>[6]Recap!$E$66</f>
        <v>5.4116298001518039</v>
      </c>
      <c r="AA11" s="303">
        <f>[7]Recap!$E$66</f>
        <v>5.7102032925514168</v>
      </c>
      <c r="AB11" s="303">
        <f>[8]Recap!$E$65</f>
        <v>6.1513553543739503</v>
      </c>
      <c r="AC11" s="303">
        <f>[9]Recap!$E$65</f>
        <v>6.2122828745724714</v>
      </c>
      <c r="AD11" s="303">
        <f>[10]Recap!$E$65</f>
        <v>6.3156784732175923</v>
      </c>
      <c r="AE11" s="303">
        <f>[11]Recap!$E$64</f>
        <v>6.1919888778791581</v>
      </c>
      <c r="AF11" s="303">
        <f>[12]Recap!$E$64</f>
        <v>6.3262743392590952</v>
      </c>
      <c r="AG11" s="303">
        <f>[13]Recap!$E$64</f>
        <v>6.459964220224764</v>
      </c>
      <c r="AH11" s="303">
        <f>[14]Recap!$E$62</f>
        <v>6.1967222626061709</v>
      </c>
      <c r="AI11" s="303">
        <f>[15]Recap!$E$62</f>
        <v>6.1472661054255084</v>
      </c>
    </row>
    <row r="12" spans="1:35" s="298" customFormat="1" x14ac:dyDescent="0.25">
      <c r="A12" s="299">
        <v>45061</v>
      </c>
      <c r="B12" s="300">
        <f t="shared" si="17"/>
        <v>1.0138489318352009</v>
      </c>
      <c r="C12" s="301">
        <f t="shared" si="6"/>
        <v>0.93357346739823566</v>
      </c>
      <c r="D12" s="301">
        <f t="shared" si="7"/>
        <v>0.95375283910866149</v>
      </c>
      <c r="E12" s="301">
        <f t="shared" si="8"/>
        <v>0.99928306733960792</v>
      </c>
      <c r="F12" s="301">
        <f t="shared" si="9"/>
        <v>0.92573794426655409</v>
      </c>
      <c r="G12" s="301">
        <f t="shared" si="10"/>
        <v>0.98185261379313749</v>
      </c>
      <c r="H12" s="301">
        <f t="shared" si="11"/>
        <v>0.98323211364926655</v>
      </c>
      <c r="I12" s="301">
        <f t="shared" si="12"/>
        <v>0.98020579590501633</v>
      </c>
      <c r="J12" s="301">
        <f t="shared" si="13"/>
        <v>1.0155942611969828</v>
      </c>
      <c r="K12" s="301">
        <f t="shared" si="14"/>
        <v>1.0026817168373787</v>
      </c>
      <c r="L12" s="301">
        <f t="shared" si="15"/>
        <v>1.0367665049546859</v>
      </c>
      <c r="M12" s="301">
        <f t="shared" si="16"/>
        <v>1.0193379385347998</v>
      </c>
      <c r="N12" s="301">
        <f t="shared" si="18"/>
        <v>1.0804618782969904</v>
      </c>
      <c r="O12" s="301">
        <f t="shared" si="19"/>
        <v>1.0245154684347726</v>
      </c>
      <c r="P12" s="302">
        <f t="shared" si="20"/>
        <v>1.0508155010259421</v>
      </c>
      <c r="Q12" s="269">
        <f t="shared" si="21"/>
        <v>1.0001106695051489</v>
      </c>
      <c r="R12" s="294"/>
      <c r="S12" s="295">
        <v>45061</v>
      </c>
      <c r="T12" s="296">
        <f t="shared" si="22"/>
        <v>100.46003426091974</v>
      </c>
      <c r="U12" s="303">
        <f>[1]Recap!$F$66</f>
        <v>6.7838233147262308</v>
      </c>
      <c r="V12" s="303">
        <f>[2]Recap!$F$66</f>
        <v>6.2802665902210322</v>
      </c>
      <c r="W12" s="303">
        <f>[3]Recap!$F$66</f>
        <v>6.4073576662790908</v>
      </c>
      <c r="X12" s="303">
        <f>[4]Recap!$F$66</f>
        <v>6.6928539671262826</v>
      </c>
      <c r="Y12" s="303">
        <f>[5]Recap!$F$66</f>
        <v>6.2308252995541515</v>
      </c>
      <c r="Z12" s="303">
        <f>[6]Recap!$F$66</f>
        <v>6.5837616857892094</v>
      </c>
      <c r="AA12" s="303">
        <f>[7]Recap!$F$66</f>
        <v>6.5924048345790736</v>
      </c>
      <c r="AB12" s="303">
        <f>[8]Recap!$F$65</f>
        <v>6.5734415922569092</v>
      </c>
      <c r="AC12" s="303">
        <f>[9]Recap!$F$65</f>
        <v>6.7947117177172061</v>
      </c>
      <c r="AD12" s="303">
        <f>[10]Recap!$F$65</f>
        <v>6.7140956215336569</v>
      </c>
      <c r="AE12" s="303">
        <f>[11]Recap!$F$64</f>
        <v>6.926595460134509</v>
      </c>
      <c r="AF12" s="303">
        <f>[12]Recap!$F$64</f>
        <v>6.8180584688709072</v>
      </c>
      <c r="AG12" s="303">
        <f>[13]Recap!$F$64</f>
        <v>7.1976069557619509</v>
      </c>
      <c r="AH12" s="303">
        <f>[14]Recap!$F$62</f>
        <v>6.8503280039899899</v>
      </c>
      <c r="AI12" s="303">
        <f>[15]Recap!$F$62</f>
        <v>7.0139030823795459</v>
      </c>
    </row>
    <row r="13" spans="1:35" s="298" customFormat="1" x14ac:dyDescent="0.25">
      <c r="A13" s="299">
        <v>45092</v>
      </c>
      <c r="B13" s="300">
        <f t="shared" si="17"/>
        <v>1.0038747741308107</v>
      </c>
      <c r="C13" s="301">
        <f t="shared" si="6"/>
        <v>0.91054929510942728</v>
      </c>
      <c r="D13" s="301">
        <f t="shared" si="7"/>
        <v>0.93567266755701928</v>
      </c>
      <c r="E13" s="301">
        <f t="shared" si="8"/>
        <v>0.99722933843808215</v>
      </c>
      <c r="F13" s="301">
        <f t="shared" si="9"/>
        <v>0.92785973946608635</v>
      </c>
      <c r="G13" s="301">
        <f t="shared" si="10"/>
        <v>0.98901567199767215</v>
      </c>
      <c r="H13" s="301">
        <f t="shared" si="11"/>
        <v>0.98718164030331634</v>
      </c>
      <c r="I13" s="301">
        <f t="shared" si="12"/>
        <v>0.97455481162638335</v>
      </c>
      <c r="J13" s="301">
        <f t="shared" si="13"/>
        <v>1.0057301176396942</v>
      </c>
      <c r="K13" s="301">
        <f t="shared" si="14"/>
        <v>0.98804938520151731</v>
      </c>
      <c r="L13" s="301">
        <f t="shared" si="15"/>
        <v>1.0481257111881594</v>
      </c>
      <c r="M13" s="301">
        <f t="shared" si="16"/>
        <v>1.0361649305163834</v>
      </c>
      <c r="N13" s="301">
        <f t="shared" si="18"/>
        <v>1.0862932858562298</v>
      </c>
      <c r="O13" s="301">
        <f t="shared" si="19"/>
        <v>1.0397138258339205</v>
      </c>
      <c r="P13" s="302">
        <f t="shared" si="20"/>
        <v>1.0724098188325131</v>
      </c>
      <c r="Q13" s="269">
        <f t="shared" si="21"/>
        <v>1.0001616675798146</v>
      </c>
      <c r="R13" s="294"/>
      <c r="S13" s="295">
        <v>45092</v>
      </c>
      <c r="T13" s="296">
        <f t="shared" si="22"/>
        <v>100.5556900390505</v>
      </c>
      <c r="U13" s="303">
        <f>[1]Recap!$G$66</f>
        <v>6.727950089237364</v>
      </c>
      <c r="V13" s="303">
        <f>[2]Recap!$G$66</f>
        <v>6.1406800562559383</v>
      </c>
      <c r="W13" s="303">
        <f>[3]Recap!$G$66</f>
        <v>6.2994960341658803</v>
      </c>
      <c r="X13" s="303">
        <f>[4]Recap!$G$66</f>
        <v>6.6863739955496833</v>
      </c>
      <c r="Y13" s="303">
        <f>[5]Recap!$G$66</f>
        <v>6.250164322940174</v>
      </c>
      <c r="Z13" s="303">
        <f>[6]Recap!$G$66</f>
        <v>6.6349355777214116</v>
      </c>
      <c r="AA13" s="303">
        <f>[7]Recap!$G$66</f>
        <v>6.6234421799249459</v>
      </c>
      <c r="AB13" s="303">
        <f>[8]Recap!$G$65</f>
        <v>6.544236726682656</v>
      </c>
      <c r="AC13" s="303">
        <f>[9]Recap!$G$65</f>
        <v>6.7395511700847717</v>
      </c>
      <c r="AD13" s="303">
        <f>[10]Recap!$G$65</f>
        <v>6.6288804612357071</v>
      </c>
      <c r="AE13" s="303">
        <f>[11]Recap!$G$64</f>
        <v>7.0038625513232917</v>
      </c>
      <c r="AF13" s="303">
        <f>[12]Recap!$G$64</f>
        <v>6.9294451120895957</v>
      </c>
      <c r="AG13" s="303">
        <f>[13]Recap!$G$64</f>
        <v>7.2405440404946475</v>
      </c>
      <c r="AH13" s="303">
        <f>[14]Recap!$G$62</f>
        <v>6.9515379355347555</v>
      </c>
      <c r="AI13" s="303">
        <f>[15]Recap!$G$62</f>
        <v>7.1545897858096703</v>
      </c>
    </row>
    <row r="14" spans="1:35" s="298" customFormat="1" x14ac:dyDescent="0.25">
      <c r="A14" s="299">
        <v>45122</v>
      </c>
      <c r="B14" s="300">
        <f t="shared" si="17"/>
        <v>1.0008512224724866</v>
      </c>
      <c r="C14" s="301">
        <f t="shared" si="6"/>
        <v>0.90057185341568324</v>
      </c>
      <c r="D14" s="301">
        <f t="shared" si="7"/>
        <v>0.93832608578287746</v>
      </c>
      <c r="E14" s="301">
        <f t="shared" si="8"/>
        <v>0.99105866745925342</v>
      </c>
      <c r="F14" s="301">
        <f t="shared" si="9"/>
        <v>0.91205379296438804</v>
      </c>
      <c r="G14" s="301">
        <f t="shared" si="10"/>
        <v>0.98873807729293484</v>
      </c>
      <c r="H14" s="301">
        <f t="shared" si="11"/>
        <v>0.97819021657386107</v>
      </c>
      <c r="I14" s="301">
        <f t="shared" si="12"/>
        <v>0.96563589521266624</v>
      </c>
      <c r="J14" s="301">
        <f t="shared" si="13"/>
        <v>1.0089316715023016</v>
      </c>
      <c r="K14" s="301">
        <f t="shared" si="14"/>
        <v>0.98589047375623828</v>
      </c>
      <c r="L14" s="301">
        <f t="shared" si="15"/>
        <v>1.0574569154179903</v>
      </c>
      <c r="M14" s="301">
        <f t="shared" si="16"/>
        <v>1.0478380500855966</v>
      </c>
      <c r="N14" s="301">
        <f t="shared" si="18"/>
        <v>1.1029284934604262</v>
      </c>
      <c r="O14" s="301">
        <f t="shared" si="19"/>
        <v>1.0529367651906236</v>
      </c>
      <c r="P14" s="302">
        <f t="shared" si="20"/>
        <v>1.0717724345021025</v>
      </c>
      <c r="Q14" s="269">
        <f t="shared" si="21"/>
        <v>1.0002120410059621</v>
      </c>
      <c r="R14" s="294"/>
      <c r="S14" s="295">
        <v>45122</v>
      </c>
      <c r="T14" s="296">
        <f t="shared" si="22"/>
        <v>96.48151285356451</v>
      </c>
      <c r="U14" s="303">
        <f>[1]Recap!$H$66</f>
        <v>6.4372107058048043</v>
      </c>
      <c r="V14" s="303">
        <f>[2]Recap!$H$66</f>
        <v>5.8312214930842439</v>
      </c>
      <c r="W14" s="303">
        <f>[3]Recap!$H$66</f>
        <v>6.0603256205831499</v>
      </c>
      <c r="X14" s="303">
        <f>[4]Recap!$H$66</f>
        <v>6.3783913921078899</v>
      </c>
      <c r="Y14" s="303">
        <f>[5]Recap!$H$66</f>
        <v>5.9010201391945856</v>
      </c>
      <c r="Z14" s="303">
        <f>[6]Recap!$H$66</f>
        <v>6.3644414240358724</v>
      </c>
      <c r="AA14" s="303">
        <f>[7]Recap!$H$66</f>
        <v>6.3009796636959825</v>
      </c>
      <c r="AB14" s="303">
        <f>[8]Recap!$H$65</f>
        <v>6.2253293270102112</v>
      </c>
      <c r="AC14" s="303">
        <f>[9]Recap!$H$65</f>
        <v>6.4856883996110684</v>
      </c>
      <c r="AD14" s="303">
        <f>[10]Recap!$H$65</f>
        <v>6.3473174705565079</v>
      </c>
      <c r="AE14" s="303">
        <f>[11]Recap!$H$64</f>
        <v>6.7757154179550465</v>
      </c>
      <c r="AF14" s="303">
        <f>[12]Recap!$H$64</f>
        <v>6.7183737598247486</v>
      </c>
      <c r="AG14" s="303">
        <f>[13]Recap!$H$64</f>
        <v>7.0457997377423309</v>
      </c>
      <c r="AH14" s="303">
        <f>[14]Recap!$H$62</f>
        <v>6.7487782370580698</v>
      </c>
      <c r="AI14" s="303">
        <f>[15]Recap!$H$62</f>
        <v>6.8609200652999869</v>
      </c>
    </row>
    <row r="15" spans="1:35" s="298" customFormat="1" x14ac:dyDescent="0.25">
      <c r="A15" s="299">
        <v>45153</v>
      </c>
      <c r="B15" s="300">
        <f t="shared" si="17"/>
        <v>1.0032576709028294</v>
      </c>
      <c r="C15" s="301">
        <f t="shared" si="6"/>
        <v>0.91985519366021962</v>
      </c>
      <c r="D15" s="301">
        <f t="shared" si="7"/>
        <v>0.96653836142735483</v>
      </c>
      <c r="E15" s="301">
        <f t="shared" si="8"/>
        <v>0.99443748748242788</v>
      </c>
      <c r="F15" s="301">
        <f t="shared" si="9"/>
        <v>0.87977614237681756</v>
      </c>
      <c r="G15" s="301">
        <f t="shared" si="10"/>
        <v>0.96757106550733762</v>
      </c>
      <c r="H15" s="301">
        <f t="shared" si="11"/>
        <v>0.95078423635075682</v>
      </c>
      <c r="I15" s="301">
        <f t="shared" si="12"/>
        <v>0.96820754984108048</v>
      </c>
      <c r="J15" s="301">
        <f t="shared" si="13"/>
        <v>1.0179529475461795</v>
      </c>
      <c r="K15" s="301">
        <f t="shared" si="14"/>
        <v>1.0032164813803359</v>
      </c>
      <c r="L15" s="301">
        <f t="shared" si="15"/>
        <v>1.0625917114361094</v>
      </c>
      <c r="M15" s="301">
        <f t="shared" si="16"/>
        <v>1.0576054063706544</v>
      </c>
      <c r="N15" s="301">
        <f t="shared" si="18"/>
        <v>1.1210638100164918</v>
      </c>
      <c r="O15" s="301">
        <f t="shared" si="19"/>
        <v>1.055800828341378</v>
      </c>
      <c r="P15" s="302">
        <f t="shared" si="20"/>
        <v>1.034880005244603</v>
      </c>
      <c r="Q15" s="269">
        <f t="shared" si="21"/>
        <v>1.0002359265256384</v>
      </c>
      <c r="R15" s="294"/>
      <c r="S15" s="295">
        <v>45153</v>
      </c>
      <c r="T15" s="296">
        <f t="shared" si="22"/>
        <v>88.850649726575341</v>
      </c>
      <c r="U15" s="303">
        <f>[1]Recap!$I$66</f>
        <v>5.9413827222180222</v>
      </c>
      <c r="V15" s="303">
        <f>[2]Recap!$I$66</f>
        <v>5.4779172150279374</v>
      </c>
      <c r="W15" s="303">
        <f>[3]Recap!$I$66</f>
        <v>5.7379708870962904</v>
      </c>
      <c r="X15" s="303">
        <f>[4]Recap!$I$66</f>
        <v>5.892612973913697</v>
      </c>
      <c r="Y15" s="303">
        <f>[5]Recap!$I$66</f>
        <v>5.2533506630855822</v>
      </c>
      <c r="Z15" s="303">
        <f>[6]Recap!$I$66</f>
        <v>5.7437053380743546</v>
      </c>
      <c r="AA15" s="303">
        <f>[7]Recap!$I$66</f>
        <v>5.6503923683250328</v>
      </c>
      <c r="AB15" s="303">
        <f>[8]Recap!$I$65</f>
        <v>5.7472392460558126</v>
      </c>
      <c r="AC15" s="303">
        <f>[9]Recap!$I$65</f>
        <v>6.0225105975803892</v>
      </c>
      <c r="AD15" s="303">
        <f>[10]Recap!$I$65</f>
        <v>5.9411551048186189</v>
      </c>
      <c r="AE15" s="303">
        <f>[11]Recap!$I$64</f>
        <v>6.2679760405037541</v>
      </c>
      <c r="AF15" s="303">
        <f>[12]Recap!$I$64</f>
        <v>6.2406289030933495</v>
      </c>
      <c r="AG15" s="303">
        <f>[13]Recap!$I$64</f>
        <v>6.5873174768916396</v>
      </c>
      <c r="AH15" s="303">
        <f>[14]Recap!$I$62</f>
        <v>6.2307273222823509</v>
      </c>
      <c r="AI15" s="303">
        <f>[15]Recap!$I$62</f>
        <v>6.1157628676085167</v>
      </c>
    </row>
    <row r="16" spans="1:35" s="313" customFormat="1" x14ac:dyDescent="0.25">
      <c r="A16" s="304">
        <v>45184</v>
      </c>
      <c r="B16" s="305">
        <f t="shared" si="17"/>
        <v>1.0051306705855616</v>
      </c>
      <c r="C16" s="306">
        <f t="shared" si="6"/>
        <v>0.98048178411270359</v>
      </c>
      <c r="D16" s="306">
        <f t="shared" si="7"/>
        <v>1.0083998202426974</v>
      </c>
      <c r="E16" s="306">
        <f t="shared" si="8"/>
        <v>1.005359814122829</v>
      </c>
      <c r="F16" s="306">
        <f t="shared" si="9"/>
        <v>0.80401310621841837</v>
      </c>
      <c r="G16" s="306">
        <f t="shared" si="10"/>
        <v>0.91353355593740648</v>
      </c>
      <c r="H16" s="306">
        <f t="shared" si="11"/>
        <v>0.88174743645633658</v>
      </c>
      <c r="I16" s="306">
        <f t="shared" si="12"/>
        <v>0.99519362905355191</v>
      </c>
      <c r="J16" s="306">
        <f t="shared" si="13"/>
        <v>1.0262706924864666</v>
      </c>
      <c r="K16" s="306">
        <f t="shared" si="14"/>
        <v>1.0520233936143339</v>
      </c>
      <c r="L16" s="306">
        <f t="shared" si="15"/>
        <v>1.0626271934479201</v>
      </c>
      <c r="M16" s="306">
        <f t="shared" si="16"/>
        <v>1.0679426054049288</v>
      </c>
      <c r="N16" s="306">
        <f t="shared" si="18"/>
        <v>1.1463948933031722</v>
      </c>
      <c r="O16" s="306">
        <f t="shared" si="19"/>
        <v>1.0604064378927751</v>
      </c>
      <c r="P16" s="307">
        <f t="shared" si="20"/>
        <v>0.99699623249045843</v>
      </c>
      <c r="Q16" s="308">
        <f t="shared" si="21"/>
        <v>1.0004347510246374</v>
      </c>
      <c r="R16" s="309"/>
      <c r="S16" s="310">
        <v>45184</v>
      </c>
      <c r="T16" s="311">
        <f t="shared" si="22"/>
        <v>77.023095065510816</v>
      </c>
      <c r="U16" s="312">
        <f>[1]Recap!$J$66</f>
        <v>5.15945358246928</v>
      </c>
      <c r="V16" s="312">
        <f>[2]Recap!$J$66</f>
        <v>5.041209138400716</v>
      </c>
      <c r="W16" s="312">
        <f>[3]Recap!$J$66</f>
        <v>5.1751070166613751</v>
      </c>
      <c r="X16" s="312">
        <f>[4]Recap!$J$66</f>
        <v>5.1605509962743685</v>
      </c>
      <c r="Y16" s="312">
        <f>[5]Recap!$J$66</f>
        <v>4.1831615163975533</v>
      </c>
      <c r="Z16" s="312">
        <f>[6]Recap!$J$66</f>
        <v>4.7180758108455034</v>
      </c>
      <c r="AA16" s="312">
        <f>[7]Recap!$J$66</f>
        <v>4.563638572145992</v>
      </c>
      <c r="AB16" s="312">
        <f>[8]Recap!$J$65</f>
        <v>5.1118308569664341</v>
      </c>
      <c r="AC16" s="312">
        <f>[9]Recap!$J$65</f>
        <v>5.2605564433135159</v>
      </c>
      <c r="AD16" s="312">
        <f>[10]Recap!$J$65</f>
        <v>5.3833358970113165</v>
      </c>
      <c r="AE16" s="312">
        <f>[11]Recap!$J$64</f>
        <v>5.4337689095656954</v>
      </c>
      <c r="AF16" s="312">
        <f>[12]Recap!$J$64</f>
        <v>5.4590229717962631</v>
      </c>
      <c r="AG16" s="312">
        <f>[13]Recap!$J$64</f>
        <v>5.8296963384037239</v>
      </c>
      <c r="AH16" s="312">
        <f>[14]Recap!$J$62</f>
        <v>5.4232125946079606</v>
      </c>
      <c r="AI16" s="312">
        <f>[15]Recap!$J$62</f>
        <v>5.120474420651127</v>
      </c>
    </row>
    <row r="17" spans="1:35" s="316" customFormat="1" x14ac:dyDescent="0.25">
      <c r="A17" s="299">
        <v>44849</v>
      </c>
      <c r="B17" s="300">
        <f>+U17/($T17-U17)*(Nserv-1)</f>
        <v>0.93240676473620021</v>
      </c>
      <c r="C17" s="301">
        <f t="shared" si="6"/>
        <v>1.0276707589720371</v>
      </c>
      <c r="D17" s="301">
        <f t="shared" si="7"/>
        <v>1.0475461093890002</v>
      </c>
      <c r="E17" s="301">
        <f t="shared" si="8"/>
        <v>1.0126519440545321</v>
      </c>
      <c r="F17" s="301">
        <f t="shared" si="9"/>
        <v>0.69008606003563089</v>
      </c>
      <c r="G17" s="301">
        <f t="shared" si="10"/>
        <v>0.81863535944677535</v>
      </c>
      <c r="H17" s="301">
        <f t="shared" si="11"/>
        <v>0.76106379954107128</v>
      </c>
      <c r="I17" s="301">
        <f t="shared" si="12"/>
        <v>1.0781756518491292</v>
      </c>
      <c r="J17" s="301">
        <f t="shared" si="13"/>
        <v>1.0641868411937798</v>
      </c>
      <c r="K17" s="301">
        <f t="shared" si="14"/>
        <v>1.1509889525872143</v>
      </c>
      <c r="L17" s="301">
        <f t="shared" si="15"/>
        <v>1.0932678435932992</v>
      </c>
      <c r="M17" s="301">
        <f t="shared" si="16"/>
        <v>1.1218529455146085</v>
      </c>
      <c r="N17" s="301">
        <f t="shared" si="18"/>
        <v>1.1813556199900606</v>
      </c>
      <c r="O17" s="301">
        <f t="shared" si="19"/>
        <v>1.0885535466996954</v>
      </c>
      <c r="P17" s="302">
        <f>+AI17/($T17-AI17)*(Nserv-1)</f>
        <v>0.95128780246783451</v>
      </c>
      <c r="Q17" s="269">
        <f t="shared" si="21"/>
        <v>1.0013153333380582</v>
      </c>
      <c r="R17" s="314"/>
      <c r="S17" s="295">
        <v>44849</v>
      </c>
      <c r="T17" s="315">
        <f t="shared" si="22"/>
        <v>59.722130909288865</v>
      </c>
      <c r="U17" s="303">
        <f>[1]Recap!$K$65</f>
        <v>3.7291589856623895</v>
      </c>
      <c r="V17" s="303">
        <f>[2]Recap!$K$65</f>
        <v>4.0841118083674708</v>
      </c>
      <c r="W17" s="303">
        <f>[3]Recap!$K$65</f>
        <v>4.1576005432148433</v>
      </c>
      <c r="X17" s="303">
        <f>[4]Recap!$K$65</f>
        <v>4.0284509488226465</v>
      </c>
      <c r="Y17" s="303">
        <f>[5]Recap!$K$65</f>
        <v>2.8055254303951545</v>
      </c>
      <c r="Z17" s="303">
        <f>[6]Recap!$K$65</f>
        <v>3.2992679094897639</v>
      </c>
      <c r="AA17" s="303">
        <f>[7]Recap!$K$65</f>
        <v>3.079205705209795</v>
      </c>
      <c r="AB17" s="303">
        <f>[8]Recap!$K$64</f>
        <v>4.2704733589600341</v>
      </c>
      <c r="AC17" s="303">
        <f>[9]Recap!$K$64</f>
        <v>4.2189801886897591</v>
      </c>
      <c r="AD17" s="303">
        <f>[10]Recap!$K$64</f>
        <v>4.5369654163612063</v>
      </c>
      <c r="AE17" s="303">
        <f>[11]Recap!$K$63</f>
        <v>4.3259210629929852</v>
      </c>
      <c r="AF17" s="303">
        <f>[12]Recap!$K$63</f>
        <v>4.4306374830121529</v>
      </c>
      <c r="AG17" s="303">
        <f>[13]Recap!$K$63</f>
        <v>4.6473501282434686</v>
      </c>
      <c r="AH17" s="303">
        <f>[14]Recap!$K$61</f>
        <v>4.3086129638973665</v>
      </c>
      <c r="AI17" s="303">
        <f>[15]Recap!$K$61</f>
        <v>3.7998689759698356</v>
      </c>
    </row>
    <row r="18" spans="1:35" s="316" customFormat="1" x14ac:dyDescent="0.25">
      <c r="A18" s="299">
        <v>44880</v>
      </c>
      <c r="B18" s="300">
        <f t="shared" si="17"/>
        <v>0.77265122761349636</v>
      </c>
      <c r="C18" s="301">
        <f t="shared" si="6"/>
        <v>1.0815907709704857</v>
      </c>
      <c r="D18" s="301">
        <f t="shared" si="7"/>
        <v>1.0856260609721931</v>
      </c>
      <c r="E18" s="301">
        <f t="shared" si="8"/>
        <v>1.0454877488131749</v>
      </c>
      <c r="F18" s="301">
        <f t="shared" si="9"/>
        <v>0.63149542381510937</v>
      </c>
      <c r="G18" s="301">
        <f t="shared" si="10"/>
        <v>0.77092414182031144</v>
      </c>
      <c r="H18" s="301">
        <f t="shared" si="11"/>
        <v>0.73442441881062004</v>
      </c>
      <c r="I18" s="301">
        <f t="shared" si="12"/>
        <v>1.1409389411072504</v>
      </c>
      <c r="J18" s="301">
        <f t="shared" si="13"/>
        <v>1.0709532934292114</v>
      </c>
      <c r="K18" s="301">
        <f t="shared" si="14"/>
        <v>1.1998681615268576</v>
      </c>
      <c r="L18" s="301">
        <f t="shared" si="15"/>
        <v>1.1342941455237983</v>
      </c>
      <c r="M18" s="301">
        <f t="shared" si="16"/>
        <v>1.1730901372287019</v>
      </c>
      <c r="N18" s="301">
        <f t="shared" si="18"/>
        <v>1.2218341532907271</v>
      </c>
      <c r="O18" s="301">
        <f t="shared" si="19"/>
        <v>1.0996259075157682</v>
      </c>
      <c r="P18" s="302">
        <f t="shared" si="20"/>
        <v>0.87181512789704851</v>
      </c>
      <c r="Q18" s="269">
        <f t="shared" si="21"/>
        <v>1.0023079773556502</v>
      </c>
      <c r="R18" s="314"/>
      <c r="S18" s="295">
        <v>44880</v>
      </c>
      <c r="T18" s="315">
        <f t="shared" si="22"/>
        <v>44.275333330331549</v>
      </c>
      <c r="U18" s="303">
        <f>[1]Recap!$L$65</f>
        <v>2.315724518475883</v>
      </c>
      <c r="V18" s="303">
        <f>[2]Recap!$L$65</f>
        <v>3.1752480649391739</v>
      </c>
      <c r="W18" s="303">
        <f>[3]Recap!$L$65</f>
        <v>3.1862420245183412</v>
      </c>
      <c r="X18" s="303">
        <f>[4]Recap!$L$65</f>
        <v>3.0766246561287236</v>
      </c>
      <c r="Y18" s="303">
        <f>[5]Recap!$L$65</f>
        <v>1.9109236326236418</v>
      </c>
      <c r="Z18" s="303">
        <f>[6]Recap!$L$65</f>
        <v>2.3108184040330242</v>
      </c>
      <c r="AA18" s="303">
        <f>[7]Recap!$L$65</f>
        <v>2.206865027402273</v>
      </c>
      <c r="AB18" s="303">
        <f>[8]Recap!$L$64</f>
        <v>3.3363486982918151</v>
      </c>
      <c r="AC18" s="303">
        <f>[9]Recap!$L$64</f>
        <v>3.14623853744328</v>
      </c>
      <c r="AD18" s="303">
        <f>[10]Recap!$L$64</f>
        <v>3.495067341341811</v>
      </c>
      <c r="AE18" s="303">
        <f>[11]Recap!$L$63</f>
        <v>3.3183742105715237</v>
      </c>
      <c r="AF18" s="303">
        <f>[12]Recap!$L$63</f>
        <v>3.4230968367404411</v>
      </c>
      <c r="AG18" s="303">
        <f>[13]Recap!$L$63</f>
        <v>3.5539156363515749</v>
      </c>
      <c r="AH18" s="303">
        <f>[14]Recap!$L$61</f>
        <v>3.2243383969993311</v>
      </c>
      <c r="AI18" s="303">
        <f>[15]Recap!$L$61</f>
        <v>2.5955073444707137</v>
      </c>
    </row>
    <row r="19" spans="1:35" s="316" customFormat="1" x14ac:dyDescent="0.25">
      <c r="A19" s="317">
        <v>44910</v>
      </c>
      <c r="B19" s="318">
        <f t="shared" si="17"/>
        <v>0.70839375827997653</v>
      </c>
      <c r="C19" s="319">
        <f t="shared" si="6"/>
        <v>1.1098305552254182</v>
      </c>
      <c r="D19" s="319">
        <f t="shared" si="7"/>
        <v>1.0924586306933635</v>
      </c>
      <c r="E19" s="319">
        <f t="shared" si="8"/>
        <v>1.0671681067482683</v>
      </c>
      <c r="F19" s="319">
        <f t="shared" si="9"/>
        <v>0.64935679826593995</v>
      </c>
      <c r="G19" s="319">
        <f t="shared" si="10"/>
        <v>0.76461286135684692</v>
      </c>
      <c r="H19" s="319">
        <f t="shared" si="11"/>
        <v>0.68271114301959734</v>
      </c>
      <c r="I19" s="319">
        <f t="shared" si="12"/>
        <v>1.1445744322139002</v>
      </c>
      <c r="J19" s="319">
        <f t="shared" si="13"/>
        <v>1.0798556244853896</v>
      </c>
      <c r="K19" s="319">
        <f t="shared" si="14"/>
        <v>1.2534822700163588</v>
      </c>
      <c r="L19" s="319">
        <f t="shared" si="15"/>
        <v>1.1603023318191998</v>
      </c>
      <c r="M19" s="319">
        <f t="shared" si="16"/>
        <v>1.1978435884217447</v>
      </c>
      <c r="N19" s="319">
        <f t="shared" si="18"/>
        <v>1.2414010042311916</v>
      </c>
      <c r="O19" s="319">
        <f t="shared" si="19"/>
        <v>1.107622778162427</v>
      </c>
      <c r="P19" s="320">
        <f t="shared" si="20"/>
        <v>0.78484090587362754</v>
      </c>
      <c r="Q19" s="269">
        <f t="shared" si="21"/>
        <v>1.00296365258755</v>
      </c>
      <c r="R19" s="314"/>
      <c r="S19" s="295">
        <v>44910</v>
      </c>
      <c r="T19" s="321">
        <f t="shared" si="22"/>
        <v>35.996826390647392</v>
      </c>
      <c r="U19" s="322">
        <f>[1]Recap!$M$65</f>
        <v>1.7336989716275146</v>
      </c>
      <c r="V19" s="322">
        <f>[2]Recap!$M$65</f>
        <v>2.6439990622971727</v>
      </c>
      <c r="W19" s="322">
        <f>[3]Recap!$M$65</f>
        <v>2.6056088428202466</v>
      </c>
      <c r="X19" s="322">
        <f>[4]Recap!$M$65</f>
        <v>2.5495610585938944</v>
      </c>
      <c r="Y19" s="322">
        <f>[5]Recap!$M$65</f>
        <v>1.5956184462332559</v>
      </c>
      <c r="Z19" s="322">
        <f>[6]Recap!$M$65</f>
        <v>1.8641624189385739</v>
      </c>
      <c r="AA19" s="322">
        <f>[7]Recap!$M$65</f>
        <v>1.6737668030689588</v>
      </c>
      <c r="AB19" s="322">
        <f>[8]Recap!$M$64</f>
        <v>2.7205153444219055</v>
      </c>
      <c r="AC19" s="322">
        <f>[9]Recap!$M$64</f>
        <v>2.5777020953999492</v>
      </c>
      <c r="AD19" s="322">
        <f>[10]Recap!$M$64</f>
        <v>2.9581037863221691</v>
      </c>
      <c r="AE19" s="322">
        <f>[11]Recap!$M$63</f>
        <v>2.7550375107952818</v>
      </c>
      <c r="AF19" s="322">
        <f>[12]Recap!$M$63</f>
        <v>2.8371503789140773</v>
      </c>
      <c r="AG19" s="322">
        <f>[13]Recap!$M$63</f>
        <v>2.9319152759041005</v>
      </c>
      <c r="AH19" s="322">
        <f>[14]Recap!$M$61</f>
        <v>2.6391249925482336</v>
      </c>
      <c r="AI19" s="322">
        <f>[15]Recap!$M$61</f>
        <v>1.9108614027620487</v>
      </c>
    </row>
    <row r="20" spans="1:35" x14ac:dyDescent="0.25">
      <c r="T20" s="15"/>
    </row>
    <row r="21" spans="1:35" ht="18.75" x14ac:dyDescent="0.3">
      <c r="A21" s="1" t="s">
        <v>82</v>
      </c>
      <c r="S21" s="323"/>
      <c r="T21" s="15"/>
    </row>
    <row r="22" spans="1:35" ht="33.75" x14ac:dyDescent="0.25">
      <c r="A22" s="274" t="s">
        <v>73</v>
      </c>
      <c r="B22" s="12" t="s">
        <v>5</v>
      </c>
      <c r="C22" s="12" t="s">
        <v>6</v>
      </c>
      <c r="D22" s="12" t="s">
        <v>7</v>
      </c>
      <c r="E22" s="12" t="s">
        <v>8</v>
      </c>
      <c r="F22" s="12" t="s">
        <v>9</v>
      </c>
      <c r="G22" s="12" t="s">
        <v>10</v>
      </c>
      <c r="H22" s="12" t="s">
        <v>11</v>
      </c>
      <c r="I22" s="12" t="s">
        <v>12</v>
      </c>
      <c r="J22" s="12" t="s">
        <v>13</v>
      </c>
      <c r="K22" s="12" t="s">
        <v>14</v>
      </c>
      <c r="L22" s="12" t="s">
        <v>15</v>
      </c>
      <c r="M22" s="12" t="s">
        <v>16</v>
      </c>
      <c r="N22" s="12" t="s">
        <v>17</v>
      </c>
      <c r="O22" s="12" t="s">
        <v>18</v>
      </c>
      <c r="P22" s="12" t="s">
        <v>19</v>
      </c>
      <c r="T22" s="275" t="s">
        <v>73</v>
      </c>
      <c r="U22" s="12" t="s">
        <v>5</v>
      </c>
      <c r="V22" s="12" t="s">
        <v>6</v>
      </c>
      <c r="W22" s="12" t="s">
        <v>7</v>
      </c>
      <c r="X22" s="12" t="s">
        <v>8</v>
      </c>
      <c r="Y22" s="12" t="s">
        <v>9</v>
      </c>
      <c r="Z22" s="12" t="s">
        <v>10</v>
      </c>
      <c r="AA22" s="12" t="s">
        <v>11</v>
      </c>
      <c r="AB22" s="12" t="s">
        <v>12</v>
      </c>
      <c r="AC22" s="12" t="s">
        <v>13</v>
      </c>
      <c r="AD22" s="12" t="s">
        <v>14</v>
      </c>
      <c r="AE22" s="12" t="s">
        <v>15</v>
      </c>
      <c r="AF22" s="12" t="s">
        <v>16</v>
      </c>
      <c r="AG22" s="12" t="s">
        <v>17</v>
      </c>
      <c r="AH22" s="12" t="s">
        <v>18</v>
      </c>
      <c r="AI22" s="12" t="s">
        <v>19</v>
      </c>
    </row>
    <row r="23" spans="1:35" ht="15" customHeight="1" x14ac:dyDescent="0.25">
      <c r="A23" s="324" t="s">
        <v>83</v>
      </c>
      <c r="B23" s="325">
        <v>6</v>
      </c>
      <c r="C23" s="325">
        <v>9</v>
      </c>
      <c r="D23" s="325">
        <v>9</v>
      </c>
      <c r="E23" s="325">
        <v>9</v>
      </c>
      <c r="F23" s="325">
        <v>9</v>
      </c>
      <c r="G23" s="325">
        <v>9</v>
      </c>
      <c r="H23" s="325">
        <v>9</v>
      </c>
      <c r="I23" s="325">
        <v>9</v>
      </c>
      <c r="J23" s="325">
        <v>9</v>
      </c>
      <c r="K23" s="325">
        <v>9</v>
      </c>
      <c r="L23" s="325">
        <v>35.840000000000003</v>
      </c>
      <c r="M23" s="325">
        <v>35.840000000000003</v>
      </c>
      <c r="N23" s="326">
        <v>31.05</v>
      </c>
      <c r="O23" s="325">
        <v>35.72</v>
      </c>
      <c r="P23" s="326">
        <v>9</v>
      </c>
      <c r="T23" s="327" t="s">
        <v>84</v>
      </c>
      <c r="U23" s="328">
        <f>B23</f>
        <v>6</v>
      </c>
      <c r="V23" s="329">
        <f t="shared" ref="V23:AI23" si="23">C23</f>
        <v>9</v>
      </c>
      <c r="W23" s="329">
        <f t="shared" si="23"/>
        <v>9</v>
      </c>
      <c r="X23" s="329">
        <f t="shared" si="23"/>
        <v>9</v>
      </c>
      <c r="Y23" s="329">
        <f t="shared" si="23"/>
        <v>9</v>
      </c>
      <c r="Z23" s="329">
        <f t="shared" si="23"/>
        <v>9</v>
      </c>
      <c r="AA23" s="329">
        <f t="shared" si="23"/>
        <v>9</v>
      </c>
      <c r="AB23" s="329">
        <f t="shared" si="23"/>
        <v>9</v>
      </c>
      <c r="AC23" s="329">
        <f t="shared" si="23"/>
        <v>9</v>
      </c>
      <c r="AD23" s="329">
        <f t="shared" si="23"/>
        <v>9</v>
      </c>
      <c r="AE23" s="329">
        <f t="shared" si="23"/>
        <v>35.840000000000003</v>
      </c>
      <c r="AF23" s="329">
        <f t="shared" si="23"/>
        <v>35.840000000000003</v>
      </c>
      <c r="AG23" s="328">
        <f t="shared" si="23"/>
        <v>31.05</v>
      </c>
      <c r="AH23" s="329">
        <f t="shared" si="23"/>
        <v>35.72</v>
      </c>
      <c r="AI23" s="328">
        <f t="shared" si="23"/>
        <v>9</v>
      </c>
    </row>
    <row r="24" spans="1:35" s="272" customFormat="1" ht="11.25" x14ac:dyDescent="0.2">
      <c r="A24" s="276" t="s">
        <v>74</v>
      </c>
      <c r="B24" s="277">
        <f t="shared" ref="B24:P24" si="24">+MIN(B28:B39)</f>
        <v>0.24532293150170212</v>
      </c>
      <c r="C24" s="277">
        <f t="shared" si="24"/>
        <v>0.49165497651816986</v>
      </c>
      <c r="D24" s="277">
        <f>+MIN(D28:D39)</f>
        <v>0.5116777117168706</v>
      </c>
      <c r="E24" s="277">
        <f t="shared" si="24"/>
        <v>0.53844762355252529</v>
      </c>
      <c r="F24" s="277">
        <f t="shared" si="24"/>
        <v>0.33450838371839897</v>
      </c>
      <c r="G24" s="277">
        <f t="shared" si="24"/>
        <v>0.39997126183513582</v>
      </c>
      <c r="H24" s="277">
        <f t="shared" si="24"/>
        <v>0.35807549148381501</v>
      </c>
      <c r="I24" s="277">
        <f t="shared" si="24"/>
        <v>0.52567247199735645</v>
      </c>
      <c r="J24" s="277">
        <f t="shared" si="24"/>
        <v>0.54899973034617366</v>
      </c>
      <c r="K24" s="277">
        <f t="shared" si="24"/>
        <v>0.53683779144424959</v>
      </c>
      <c r="L24" s="277">
        <f t="shared" si="24"/>
        <v>2.5742860761827782</v>
      </c>
      <c r="M24" s="277">
        <f t="shared" si="24"/>
        <v>2.5339376534520395</v>
      </c>
      <c r="N24" s="278">
        <f t="shared" si="24"/>
        <v>2.281817147672252</v>
      </c>
      <c r="O24" s="278">
        <f t="shared" si="24"/>
        <v>2.5380351652303568</v>
      </c>
      <c r="P24" s="278">
        <f t="shared" si="24"/>
        <v>0.41028454615934312</v>
      </c>
      <c r="Q24" s="279"/>
      <c r="T24" s="280" t="s">
        <v>74</v>
      </c>
      <c r="U24" s="330">
        <f t="shared" ref="U24:AG24" si="25">+MIN(U28:U39)</f>
        <v>10.402193829765087</v>
      </c>
      <c r="V24" s="281">
        <f t="shared" si="25"/>
        <v>23.795991560674555</v>
      </c>
      <c r="W24" s="281">
        <f>+MIN(W28:W39)</f>
        <v>23.450479585382219</v>
      </c>
      <c r="X24" s="281">
        <f t="shared" si="25"/>
        <v>22.94604952734505</v>
      </c>
      <c r="Y24" s="281">
        <f t="shared" si="25"/>
        <v>14.360566016099304</v>
      </c>
      <c r="Z24" s="281">
        <f t="shared" si="25"/>
        <v>16.777461770447164</v>
      </c>
      <c r="AA24" s="281">
        <f t="shared" si="25"/>
        <v>15.063901227620629</v>
      </c>
      <c r="AB24" s="281">
        <f t="shared" si="25"/>
        <v>24.484638099797149</v>
      </c>
      <c r="AC24" s="281">
        <f t="shared" si="25"/>
        <v>23.199318858599543</v>
      </c>
      <c r="AD24" s="281">
        <f t="shared" si="25"/>
        <v>26.622934076899522</v>
      </c>
      <c r="AE24" s="281">
        <f t="shared" si="25"/>
        <v>98.740544386902911</v>
      </c>
      <c r="AF24" s="281">
        <f t="shared" si="25"/>
        <v>101.68346958028054</v>
      </c>
      <c r="AG24" s="281">
        <f t="shared" si="25"/>
        <v>91.035969316822317</v>
      </c>
      <c r="AH24" s="281">
        <f>+MIN(AH28:AH39)</f>
        <v>94.269544733822897</v>
      </c>
      <c r="AI24" s="281">
        <f t="shared" ref="AI24" si="26">+MIN(AI28:AI39)</f>
        <v>17.197752624858438</v>
      </c>
    </row>
    <row r="25" spans="1:35" s="272" customFormat="1" ht="11.25" x14ac:dyDescent="0.2">
      <c r="A25" s="282" t="s">
        <v>75</v>
      </c>
      <c r="B25" s="277">
        <f t="shared" ref="B25:P25" si="27">+AVERAGE(B28:B39)</f>
        <v>0.32787563249957502</v>
      </c>
      <c r="C25" s="277">
        <f t="shared" si="27"/>
        <v>0.53227642209121284</v>
      </c>
      <c r="D25" s="277">
        <f>+AVERAGE(D28:D39)</f>
        <v>0.54286381310001353</v>
      </c>
      <c r="E25" s="277">
        <f t="shared" si="27"/>
        <v>0.54532598748269845</v>
      </c>
      <c r="F25" s="277">
        <f t="shared" si="27"/>
        <v>0.42456436294094857</v>
      </c>
      <c r="G25" s="277">
        <f t="shared" si="27"/>
        <v>0.47134619493121699</v>
      </c>
      <c r="H25" s="277">
        <f t="shared" si="27"/>
        <v>0.46453361852954772</v>
      </c>
      <c r="I25" s="277">
        <f t="shared" si="27"/>
        <v>0.56282598098934289</v>
      </c>
      <c r="J25" s="277">
        <f t="shared" si="27"/>
        <v>0.55928431085422459</v>
      </c>
      <c r="K25" s="277">
        <f t="shared" si="27"/>
        <v>0.58862929280459997</v>
      </c>
      <c r="L25" s="277">
        <f t="shared" si="27"/>
        <v>2.6273333986967211</v>
      </c>
      <c r="M25" s="277">
        <f t="shared" si="27"/>
        <v>2.6701748552928084</v>
      </c>
      <c r="N25" s="278">
        <f t="shared" si="27"/>
        <v>2.3652651096381909</v>
      </c>
      <c r="O25" s="278">
        <f t="shared" si="27"/>
        <v>2.5862815672300705</v>
      </c>
      <c r="P25" s="278">
        <f t="shared" si="27"/>
        <v>0.51727687937744771</v>
      </c>
      <c r="Q25" s="279"/>
      <c r="T25" s="283" t="s">
        <v>75</v>
      </c>
      <c r="U25" s="330">
        <f t="shared" ref="U25:AI25" si="28">+AVERAGE(U28:U39)</f>
        <v>27.599118955056184</v>
      </c>
      <c r="V25" s="281">
        <f t="shared" si="28"/>
        <v>42.067373993584241</v>
      </c>
      <c r="W25" s="281">
        <f>+AVERAGE(W28:W39)</f>
        <v>43.137425457517772</v>
      </c>
      <c r="X25" s="281">
        <f t="shared" si="28"/>
        <v>43.698151210582573</v>
      </c>
      <c r="Y25" s="281">
        <f t="shared" si="28"/>
        <v>35.78395314265186</v>
      </c>
      <c r="Z25" s="281">
        <f t="shared" si="28"/>
        <v>39.264849337831642</v>
      </c>
      <c r="AA25" s="281">
        <f t="shared" si="28"/>
        <v>38.995930431050091</v>
      </c>
      <c r="AB25" s="281">
        <f t="shared" si="28"/>
        <v>44.558634320472805</v>
      </c>
      <c r="AC25" s="281">
        <f t="shared" si="28"/>
        <v>44.783160322278512</v>
      </c>
      <c r="AD25" s="281">
        <f t="shared" si="28"/>
        <v>46.251500879377318</v>
      </c>
      <c r="AE25" s="281">
        <f t="shared" si="28"/>
        <v>183.72692648199947</v>
      </c>
      <c r="AF25" s="281">
        <f t="shared" si="28"/>
        <v>185.35886566769747</v>
      </c>
      <c r="AG25" s="281">
        <f t="shared" si="28"/>
        <v>167.54430490403075</v>
      </c>
      <c r="AH25" s="281">
        <f t="shared" si="28"/>
        <v>181.77029607399848</v>
      </c>
      <c r="AI25" s="281">
        <f t="shared" si="28"/>
        <v>42.933830730431715</v>
      </c>
    </row>
    <row r="26" spans="1:35" s="272" customFormat="1" ht="11.25" x14ac:dyDescent="0.2">
      <c r="A26" s="282" t="s">
        <v>76</v>
      </c>
      <c r="B26" s="277">
        <f t="shared" ref="B26:P26" si="29">+MAX(B28:B39)</f>
        <v>0.366754417691324</v>
      </c>
      <c r="C26" s="277">
        <f t="shared" si="29"/>
        <v>0.5831846470717208</v>
      </c>
      <c r="D26" s="277">
        <f>+MAX(D28:D39)</f>
        <v>0.56679178417704956</v>
      </c>
      <c r="E26" s="277">
        <f t="shared" si="29"/>
        <v>0.55846127426337555</v>
      </c>
      <c r="F26" s="277">
        <f t="shared" si="29"/>
        <v>0.51033631052094608</v>
      </c>
      <c r="G26" s="277">
        <f t="shared" si="29"/>
        <v>0.54128652305846658</v>
      </c>
      <c r="H26" s="277">
        <f t="shared" si="29"/>
        <v>0.5410961345671268</v>
      </c>
      <c r="I26" s="277">
        <f t="shared" si="29"/>
        <v>0.5964302945627914</v>
      </c>
      <c r="J26" s="277">
        <f t="shared" si="29"/>
        <v>0.57013966434223617</v>
      </c>
      <c r="K26" s="277">
        <f t="shared" si="29"/>
        <v>0.64550742943557726</v>
      </c>
      <c r="L26" s="277">
        <f t="shared" si="29"/>
        <v>2.7357891122759779</v>
      </c>
      <c r="M26" s="277">
        <f t="shared" si="29"/>
        <v>2.8338331764867113</v>
      </c>
      <c r="N26" s="284">
        <f t="shared" si="29"/>
        <v>2.484437379196172</v>
      </c>
      <c r="O26" s="284">
        <f t="shared" si="29"/>
        <v>2.6206779554445139</v>
      </c>
      <c r="P26" s="284">
        <f t="shared" si="29"/>
        <v>0.5854534162616285</v>
      </c>
      <c r="Q26" s="279"/>
      <c r="T26" s="283" t="s">
        <v>76</v>
      </c>
      <c r="U26" s="331">
        <f t="shared" ref="U26:AI26" si="30">+MAX(U28:U39)</f>
        <v>40.702939888357385</v>
      </c>
      <c r="V26" s="281">
        <f t="shared" si="30"/>
        <v>56.52239931198929</v>
      </c>
      <c r="W26" s="281">
        <f>+MAX(W28:W39)</f>
        <v>57.666218996511816</v>
      </c>
      <c r="X26" s="281">
        <f t="shared" si="30"/>
        <v>60.235685704136543</v>
      </c>
      <c r="Y26" s="281">
        <f t="shared" si="30"/>
        <v>56.251478906461564</v>
      </c>
      <c r="Z26" s="281">
        <f t="shared" si="30"/>
        <v>59.714420199492707</v>
      </c>
      <c r="AA26" s="281">
        <f t="shared" si="30"/>
        <v>59.61097961932451</v>
      </c>
      <c r="AB26" s="281">
        <f t="shared" si="30"/>
        <v>59.160974330312186</v>
      </c>
      <c r="AC26" s="281">
        <f t="shared" si="30"/>
        <v>61.152405459454855</v>
      </c>
      <c r="AD26" s="281">
        <f t="shared" si="30"/>
        <v>60.426860593802914</v>
      </c>
      <c r="AE26" s="281">
        <f t="shared" si="30"/>
        <v>251.01843383942679</v>
      </c>
      <c r="AF26" s="281">
        <f t="shared" si="30"/>
        <v>248.35131281729113</v>
      </c>
      <c r="AG26" s="281">
        <f t="shared" si="30"/>
        <v>224.8188924573588</v>
      </c>
      <c r="AH26" s="281">
        <f t="shared" si="30"/>
        <v>248.30893505730145</v>
      </c>
      <c r="AI26" s="281">
        <f t="shared" si="30"/>
        <v>64.391308072287032</v>
      </c>
    </row>
    <row r="27" spans="1:35" ht="38.25" x14ac:dyDescent="0.25">
      <c r="A27" s="285" t="s">
        <v>77</v>
      </c>
      <c r="B27" s="286" t="s">
        <v>78</v>
      </c>
      <c r="C27" s="286" t="s">
        <v>78</v>
      </c>
      <c r="D27" s="286" t="s">
        <v>78</v>
      </c>
      <c r="E27" s="286" t="s">
        <v>78</v>
      </c>
      <c r="F27" s="286" t="s">
        <v>78</v>
      </c>
      <c r="G27" s="286" t="s">
        <v>78</v>
      </c>
      <c r="H27" s="286" t="s">
        <v>78</v>
      </c>
      <c r="I27" s="286" t="s">
        <v>78</v>
      </c>
      <c r="J27" s="286" t="s">
        <v>78</v>
      </c>
      <c r="K27" s="286" t="s">
        <v>78</v>
      </c>
      <c r="L27" s="286" t="s">
        <v>78</v>
      </c>
      <c r="M27" s="286" t="s">
        <v>78</v>
      </c>
      <c r="N27" s="286" t="s">
        <v>78</v>
      </c>
      <c r="O27" s="286" t="s">
        <v>78</v>
      </c>
      <c r="P27" s="286" t="s">
        <v>78</v>
      </c>
      <c r="S27" s="287" t="s">
        <v>77</v>
      </c>
      <c r="T27" s="288" t="s">
        <v>80</v>
      </c>
      <c r="U27" s="289" t="s">
        <v>85</v>
      </c>
      <c r="V27" s="289" t="s">
        <v>85</v>
      </c>
      <c r="W27" s="289" t="s">
        <v>85</v>
      </c>
      <c r="X27" s="289" t="s">
        <v>85</v>
      </c>
      <c r="Y27" s="289" t="s">
        <v>85</v>
      </c>
      <c r="Z27" s="289" t="s">
        <v>85</v>
      </c>
      <c r="AA27" s="289" t="s">
        <v>85</v>
      </c>
      <c r="AB27" s="289" t="s">
        <v>85</v>
      </c>
      <c r="AC27" s="289" t="s">
        <v>85</v>
      </c>
      <c r="AD27" s="289" t="s">
        <v>85</v>
      </c>
      <c r="AE27" s="289" t="s">
        <v>85</v>
      </c>
      <c r="AF27" s="289" t="s">
        <v>85</v>
      </c>
      <c r="AG27" s="289" t="s">
        <v>85</v>
      </c>
      <c r="AH27" s="289" t="s">
        <v>85</v>
      </c>
      <c r="AI27" s="289" t="s">
        <v>85</v>
      </c>
    </row>
    <row r="28" spans="1:35" s="298" customFormat="1" x14ac:dyDescent="0.25">
      <c r="A28" s="290">
        <v>44941</v>
      </c>
      <c r="B28" s="291">
        <f>+U28/($T28-U28)*(Nserv-1)</f>
        <v>0.27961892631380403</v>
      </c>
      <c r="C28" s="291">
        <f t="shared" ref="C28:C39" si="31">+V28/($T28-V28)*(Nserv-1)</f>
        <v>0.5831846470717208</v>
      </c>
      <c r="D28" s="291">
        <f t="shared" ref="D28:D39" si="32">+W28/($T28-W28)*(Nserv-1)</f>
        <v>0.56539406386545688</v>
      </c>
      <c r="E28" s="291">
        <f t="shared" ref="E28:E39" si="33">+X28/($T28-X28)*(Nserv-1)</f>
        <v>0.55846127426337555</v>
      </c>
      <c r="F28" s="291">
        <f t="shared" ref="F28:F39" si="34">+Y28/($T28-Y28)*(Nserv-1)</f>
        <v>0.36507631040669597</v>
      </c>
      <c r="G28" s="291">
        <f t="shared" ref="G28:G39" si="35">+Z28/($T28-Z28)*(Nserv-1)</f>
        <v>0.40221470633676731</v>
      </c>
      <c r="H28" s="291">
        <f t="shared" ref="H28:H39" si="36">+AA28/($T28-AA28)*(Nserv-1)</f>
        <v>0.3815853940278241</v>
      </c>
      <c r="I28" s="291">
        <f t="shared" ref="I28:I39" si="37">+AB28/($T28-AB28)*(Nserv-1)</f>
        <v>0.5964302945627914</v>
      </c>
      <c r="J28" s="291">
        <f t="shared" ref="J28:J39" si="38">+AC28/($T28-AC28)*(Nserv-1)</f>
        <v>0.5623197342967714</v>
      </c>
      <c r="K28" s="291">
        <f t="shared" ref="K28:K39" si="39">+AD28/($T28-AD28)*(Nserv-1)</f>
        <v>0.63893256296257661</v>
      </c>
      <c r="L28" s="291">
        <f t="shared" ref="L28:L39" si="40">+AE28/($T28-AE28)*(Nserv-1)</f>
        <v>2.6735430483823985</v>
      </c>
      <c r="M28" s="291">
        <f t="shared" ref="M28:M39" si="41">+AF28/($T28-AF28)*(Nserv-1)</f>
        <v>2.7856080975657518</v>
      </c>
      <c r="N28" s="332">
        <f t="shared" ref="N28:N39" si="42">+AG28/($T28-AG28)*(Nserv-1)</f>
        <v>2.417864383631037</v>
      </c>
      <c r="O28" s="291">
        <f t="shared" ref="O28:O39" si="43">+AH28/($T28-AH28)*(Nserv-1)</f>
        <v>2.6065771411710439</v>
      </c>
      <c r="P28" s="332">
        <f t="shared" ref="P28:P39" si="44">+AI28/($T28-AI28)*(Nserv-1)</f>
        <v>0.42889226724907281</v>
      </c>
      <c r="Q28" s="269">
        <f t="shared" ref="Q28:Q39" si="45">AVERAGE(B28:P28)</f>
        <v>1.0563801901404726</v>
      </c>
      <c r="R28" s="4"/>
      <c r="S28" s="295">
        <v>44941</v>
      </c>
      <c r="T28" s="333">
        <f>SUM(U28:AI28)</f>
        <v>697.4039416065383</v>
      </c>
      <c r="U28" s="297">
        <f>U8*U$23</f>
        <v>13.656340716465818</v>
      </c>
      <c r="V28" s="297">
        <f t="shared" ref="U28:AI39" si="46">V8*V$23</f>
        <v>27.889331541441035</v>
      </c>
      <c r="W28" s="297">
        <f t="shared" si="46"/>
        <v>27.07156750938357</v>
      </c>
      <c r="X28" s="297">
        <f t="shared" si="46"/>
        <v>26.752352914823724</v>
      </c>
      <c r="Y28" s="297">
        <f t="shared" si="46"/>
        <v>17.723933542932468</v>
      </c>
      <c r="Z28" s="297">
        <f t="shared" si="46"/>
        <v>19.476596293760231</v>
      </c>
      <c r="AA28" s="297">
        <f t="shared" si="46"/>
        <v>18.504160046568902</v>
      </c>
      <c r="AB28" s="297">
        <f t="shared" si="46"/>
        <v>28.496887932701114</v>
      </c>
      <c r="AC28" s="297">
        <f t="shared" si="46"/>
        <v>26.930050039905108</v>
      </c>
      <c r="AD28" s="297">
        <f t="shared" si="46"/>
        <v>30.438974010868098</v>
      </c>
      <c r="AE28" s="297">
        <f t="shared" si="46"/>
        <v>111.82623000919621</v>
      </c>
      <c r="AF28" s="297">
        <f t="shared" si="46"/>
        <v>115.73569785030161</v>
      </c>
      <c r="AG28" s="297">
        <f t="shared" si="46"/>
        <v>102.70691193524257</v>
      </c>
      <c r="AH28" s="297">
        <f>AH8*AH$23</f>
        <v>109.46489194617982</v>
      </c>
      <c r="AI28" s="297">
        <f t="shared" ref="AI28" si="47">AI8*AI$23</f>
        <v>20.730015316767968</v>
      </c>
    </row>
    <row r="29" spans="1:35" s="298" customFormat="1" x14ac:dyDescent="0.25">
      <c r="A29" s="299">
        <v>44972</v>
      </c>
      <c r="B29" s="300">
        <f t="shared" ref="B29:B39" si="48">+U29/($T29-U29)*(Nserv-1)</f>
        <v>0.31722423779618608</v>
      </c>
      <c r="C29" s="300">
        <f t="shared" si="31"/>
        <v>0.55826165712956022</v>
      </c>
      <c r="D29" s="300">
        <f t="shared" si="32"/>
        <v>0.5617415178070575</v>
      </c>
      <c r="E29" s="300">
        <f t="shared" si="33"/>
        <v>0.54794796213170616</v>
      </c>
      <c r="F29" s="300">
        <f t="shared" si="34"/>
        <v>0.38232841291136432</v>
      </c>
      <c r="G29" s="300">
        <f t="shared" si="35"/>
        <v>0.42046231339747087</v>
      </c>
      <c r="H29" s="300">
        <f t="shared" si="36"/>
        <v>0.42799518025208433</v>
      </c>
      <c r="I29" s="300">
        <f t="shared" si="37"/>
        <v>0.59263916261222915</v>
      </c>
      <c r="J29" s="300">
        <f t="shared" si="38"/>
        <v>0.56647399394636377</v>
      </c>
      <c r="K29" s="300">
        <f t="shared" si="39"/>
        <v>0.62396285005795005</v>
      </c>
      <c r="L29" s="300">
        <f t="shared" si="40"/>
        <v>2.6311821008307388</v>
      </c>
      <c r="M29" s="300">
        <f t="shared" si="41"/>
        <v>2.7031776187789873</v>
      </c>
      <c r="N29" s="334">
        <f t="shared" si="42"/>
        <v>2.3763206331748572</v>
      </c>
      <c r="O29" s="300">
        <f t="shared" si="43"/>
        <v>2.6206779554445139</v>
      </c>
      <c r="P29" s="334">
        <f t="shared" si="44"/>
        <v>0.47559845272446155</v>
      </c>
      <c r="Q29" s="269">
        <f t="shared" si="45"/>
        <v>1.0537329365997021</v>
      </c>
      <c r="R29" s="4"/>
      <c r="S29" s="295">
        <v>44972</v>
      </c>
      <c r="T29" s="333">
        <f t="shared" ref="T29:T39" si="49">SUM(U29:AI29)</f>
        <v>936.79076263149977</v>
      </c>
      <c r="U29" s="303">
        <f t="shared" si="46"/>
        <v>20.756309373556924</v>
      </c>
      <c r="V29" s="303">
        <f t="shared" si="46"/>
        <v>35.92285781415471</v>
      </c>
      <c r="W29" s="303">
        <f t="shared" si="46"/>
        <v>36.138140772842014</v>
      </c>
      <c r="X29" s="303">
        <f t="shared" si="46"/>
        <v>35.284192015526123</v>
      </c>
      <c r="Y29" s="303">
        <f t="shared" si="46"/>
        <v>24.902902730645302</v>
      </c>
      <c r="Z29" s="303">
        <f t="shared" si="46"/>
        <v>27.314326175207192</v>
      </c>
      <c r="AA29" s="303">
        <f t="shared" si="46"/>
        <v>27.789164489029933</v>
      </c>
      <c r="AB29" s="303">
        <f t="shared" si="46"/>
        <v>38.045132681086656</v>
      </c>
      <c r="AC29" s="303">
        <f t="shared" si="46"/>
        <v>36.430752220507465</v>
      </c>
      <c r="AD29" s="303">
        <f t="shared" si="46"/>
        <v>39.970194136344851</v>
      </c>
      <c r="AE29" s="303">
        <f t="shared" si="46"/>
        <v>148.20757008826556</v>
      </c>
      <c r="AF29" s="303">
        <f t="shared" si="46"/>
        <v>151.60659132172256</v>
      </c>
      <c r="AG29" s="303">
        <f t="shared" si="46"/>
        <v>135.93500445388318</v>
      </c>
      <c r="AH29" s="303">
        <f t="shared" si="46"/>
        <v>147.70919135029754</v>
      </c>
      <c r="AI29" s="303">
        <f t="shared" si="46"/>
        <v>30.778433008429779</v>
      </c>
    </row>
    <row r="30" spans="1:35" s="298" customFormat="1" x14ac:dyDescent="0.25">
      <c r="A30" s="299">
        <v>45000</v>
      </c>
      <c r="B30" s="300">
        <f t="shared" si="48"/>
        <v>0.34341306978011404</v>
      </c>
      <c r="C30" s="300">
        <f t="shared" si="31"/>
        <v>0.52495182475677271</v>
      </c>
      <c r="D30" s="300">
        <f t="shared" si="32"/>
        <v>0.54559538640400496</v>
      </c>
      <c r="E30" s="300">
        <f t="shared" si="33"/>
        <v>0.5395514004528883</v>
      </c>
      <c r="F30" s="300">
        <f t="shared" si="34"/>
        <v>0.41509197471909198</v>
      </c>
      <c r="G30" s="300">
        <f t="shared" si="35"/>
        <v>0.4546858324802262</v>
      </c>
      <c r="H30" s="300">
        <f t="shared" si="36"/>
        <v>0.47992126412691349</v>
      </c>
      <c r="I30" s="300">
        <f t="shared" si="37"/>
        <v>0.57956644537228552</v>
      </c>
      <c r="J30" s="300">
        <f t="shared" si="38"/>
        <v>0.5654879022167516</v>
      </c>
      <c r="K30" s="300">
        <f t="shared" si="39"/>
        <v>0.60081714370221584</v>
      </c>
      <c r="L30" s="300">
        <f t="shared" si="40"/>
        <v>2.5885318844461542</v>
      </c>
      <c r="M30" s="300">
        <f t="shared" si="41"/>
        <v>2.6817715407058529</v>
      </c>
      <c r="N30" s="334">
        <f t="shared" si="42"/>
        <v>2.3392473178360631</v>
      </c>
      <c r="O30" s="300">
        <f t="shared" si="43"/>
        <v>2.5962080517509203</v>
      </c>
      <c r="P30" s="334">
        <f t="shared" si="44"/>
        <v>0.5193838831428722</v>
      </c>
      <c r="Q30" s="269">
        <f t="shared" si="45"/>
        <v>1.0516149947928752</v>
      </c>
      <c r="R30" s="4"/>
      <c r="S30" s="295">
        <v>45000</v>
      </c>
      <c r="T30" s="333">
        <f t="shared" si="49"/>
        <v>1208.3592389387832</v>
      </c>
      <c r="U30" s="303">
        <f t="shared" si="46"/>
        <v>28.930795872804865</v>
      </c>
      <c r="V30" s="303">
        <f t="shared" si="46"/>
        <v>43.671772209354067</v>
      </c>
      <c r="W30" s="303">
        <f t="shared" si="46"/>
        <v>45.324732908485103</v>
      </c>
      <c r="X30" s="303">
        <f t="shared" si="46"/>
        <v>44.841267908671419</v>
      </c>
      <c r="Y30" s="303">
        <f t="shared" si="46"/>
        <v>34.79549235903734</v>
      </c>
      <c r="Z30" s="303">
        <f t="shared" si="46"/>
        <v>38.010084263296612</v>
      </c>
      <c r="AA30" s="303">
        <f t="shared" si="46"/>
        <v>40.04975461487102</v>
      </c>
      <c r="AB30" s="303">
        <f t="shared" si="46"/>
        <v>48.034656686708367</v>
      </c>
      <c r="AC30" s="303">
        <f t="shared" si="46"/>
        <v>46.913123387217823</v>
      </c>
      <c r="AD30" s="303">
        <f t="shared" si="46"/>
        <v>49.723446253727701</v>
      </c>
      <c r="AE30" s="303">
        <f t="shared" si="46"/>
        <v>188.55655459124196</v>
      </c>
      <c r="AF30" s="303">
        <f t="shared" si="46"/>
        <v>194.25655183129885</v>
      </c>
      <c r="AG30" s="303">
        <f t="shared" si="46"/>
        <v>172.99763285817812</v>
      </c>
      <c r="AH30" s="303">
        <f t="shared" si="46"/>
        <v>189.02823920729949</v>
      </c>
      <c r="AI30" s="303">
        <f t="shared" si="46"/>
        <v>43.225133986590336</v>
      </c>
    </row>
    <row r="31" spans="1:35" s="298" customFormat="1" x14ac:dyDescent="0.25">
      <c r="A31" s="299">
        <v>45031</v>
      </c>
      <c r="B31" s="300">
        <f t="shared" si="48"/>
        <v>0.35027180232824123</v>
      </c>
      <c r="C31" s="300">
        <f t="shared" si="31"/>
        <v>0.49982280345144531</v>
      </c>
      <c r="D31" s="300">
        <f t="shared" si="32"/>
        <v>0.53347784202430326</v>
      </c>
      <c r="E31" s="300">
        <f t="shared" si="33"/>
        <v>0.5426061175724548</v>
      </c>
      <c r="F31" s="300">
        <f t="shared" si="34"/>
        <v>0.45327645728644206</v>
      </c>
      <c r="G31" s="300">
        <f t="shared" si="35"/>
        <v>0.4940656042280242</v>
      </c>
      <c r="H31" s="300">
        <f t="shared" si="36"/>
        <v>0.52234150170402915</v>
      </c>
      <c r="I31" s="300">
        <f t="shared" si="37"/>
        <v>0.56432257426843613</v>
      </c>
      <c r="J31" s="300">
        <f t="shared" si="38"/>
        <v>0.57013966434223617</v>
      </c>
      <c r="K31" s="300">
        <f t="shared" si="39"/>
        <v>0.58002205983158128</v>
      </c>
      <c r="L31" s="300">
        <f t="shared" si="40"/>
        <v>2.5742860761827782</v>
      </c>
      <c r="M31" s="300">
        <f t="shared" si="41"/>
        <v>2.640644757866057</v>
      </c>
      <c r="N31" s="334">
        <f t="shared" si="42"/>
        <v>2.2863290263628429</v>
      </c>
      <c r="O31" s="300">
        <f t="shared" si="43"/>
        <v>2.566407600307977</v>
      </c>
      <c r="P31" s="334">
        <f t="shared" si="44"/>
        <v>0.56393231720334047</v>
      </c>
      <c r="Q31" s="269">
        <f t="shared" si="45"/>
        <v>1.0494630803306793</v>
      </c>
      <c r="R31" s="4"/>
      <c r="S31" s="295">
        <v>45031</v>
      </c>
      <c r="T31" s="333">
        <f t="shared" si="49"/>
        <v>1428.8156271185317</v>
      </c>
      <c r="U31" s="303">
        <f t="shared" si="46"/>
        <v>34.875564156517619</v>
      </c>
      <c r="V31" s="303">
        <f t="shared" si="46"/>
        <v>49.25264550071789</v>
      </c>
      <c r="W31" s="303">
        <f t="shared" si="46"/>
        <v>52.447286581449568</v>
      </c>
      <c r="X31" s="303">
        <f t="shared" si="46"/>
        <v>53.311221791314956</v>
      </c>
      <c r="Y31" s="303">
        <f t="shared" si="46"/>
        <v>44.809804025390385</v>
      </c>
      <c r="Z31" s="303">
        <f t="shared" si="46"/>
        <v>48.704668201366232</v>
      </c>
      <c r="AA31" s="303">
        <f t="shared" si="46"/>
        <v>51.391829632962754</v>
      </c>
      <c r="AB31" s="303">
        <f t="shared" si="46"/>
        <v>55.36219818936555</v>
      </c>
      <c r="AC31" s="303">
        <f t="shared" si="46"/>
        <v>55.910545871152245</v>
      </c>
      <c r="AD31" s="303">
        <f t="shared" si="46"/>
        <v>56.841106258958334</v>
      </c>
      <c r="AE31" s="303">
        <f t="shared" si="46"/>
        <v>221.92088138318906</v>
      </c>
      <c r="AF31" s="303">
        <f t="shared" si="46"/>
        <v>226.73367231904601</v>
      </c>
      <c r="AG31" s="303">
        <f t="shared" si="46"/>
        <v>200.58188903797893</v>
      </c>
      <c r="AH31" s="303">
        <f t="shared" si="46"/>
        <v>221.34691922029242</v>
      </c>
      <c r="AI31" s="303">
        <f t="shared" si="46"/>
        <v>55.325394948829576</v>
      </c>
    </row>
    <row r="32" spans="1:35" s="298" customFormat="1" x14ac:dyDescent="0.25">
      <c r="A32" s="299">
        <v>45061</v>
      </c>
      <c r="B32" s="300">
        <f t="shared" si="48"/>
        <v>0.366754417691324</v>
      </c>
      <c r="C32" s="300">
        <f t="shared" si="31"/>
        <v>0.51453463281080902</v>
      </c>
      <c r="D32" s="300">
        <f t="shared" si="32"/>
        <v>0.52533776757691686</v>
      </c>
      <c r="E32" s="300">
        <f t="shared" si="33"/>
        <v>0.54966457335437657</v>
      </c>
      <c r="F32" s="300">
        <f t="shared" si="34"/>
        <v>0.51033631052094608</v>
      </c>
      <c r="G32" s="300">
        <f t="shared" si="35"/>
        <v>0.54035933450252116</v>
      </c>
      <c r="H32" s="300">
        <f t="shared" si="36"/>
        <v>0.5410961345671268</v>
      </c>
      <c r="I32" s="300">
        <f t="shared" si="37"/>
        <v>0.53947967820050824</v>
      </c>
      <c r="J32" s="300">
        <f t="shared" si="38"/>
        <v>0.55836348664078816</v>
      </c>
      <c r="K32" s="300">
        <f t="shared" si="39"/>
        <v>0.5514778071385219</v>
      </c>
      <c r="L32" s="300">
        <f t="shared" si="40"/>
        <v>2.5817141578213332</v>
      </c>
      <c r="M32" s="300">
        <f t="shared" si="41"/>
        <v>2.5339376534520395</v>
      </c>
      <c r="N32" s="334">
        <f t="shared" si="42"/>
        <v>2.2822001395835301</v>
      </c>
      <c r="O32" s="300">
        <f t="shared" si="43"/>
        <v>2.5380351652303568</v>
      </c>
      <c r="P32" s="334">
        <f t="shared" si="44"/>
        <v>0.57711831347457099</v>
      </c>
      <c r="Q32" s="269">
        <f t="shared" si="45"/>
        <v>1.0473606381710445</v>
      </c>
      <c r="R32" s="4"/>
      <c r="S32" s="295">
        <v>45061</v>
      </c>
      <c r="T32" s="333">
        <f t="shared" si="49"/>
        <v>1594.4433474997682</v>
      </c>
      <c r="U32" s="303">
        <f t="shared" si="46"/>
        <v>40.702939888357385</v>
      </c>
      <c r="V32" s="303">
        <f t="shared" si="46"/>
        <v>56.52239931198929</v>
      </c>
      <c r="W32" s="303">
        <f t="shared" si="46"/>
        <v>57.666218996511816</v>
      </c>
      <c r="X32" s="303">
        <f t="shared" si="46"/>
        <v>60.235685704136543</v>
      </c>
      <c r="Y32" s="303">
        <f t="shared" si="46"/>
        <v>56.077427695987367</v>
      </c>
      <c r="Z32" s="303">
        <f t="shared" si="46"/>
        <v>59.253855172102888</v>
      </c>
      <c r="AA32" s="303">
        <f t="shared" si="46"/>
        <v>59.331643511211659</v>
      </c>
      <c r="AB32" s="303">
        <f t="shared" si="46"/>
        <v>59.160974330312186</v>
      </c>
      <c r="AC32" s="303">
        <f t="shared" si="46"/>
        <v>61.152405459454855</v>
      </c>
      <c r="AD32" s="303">
        <f t="shared" si="46"/>
        <v>60.426860593802914</v>
      </c>
      <c r="AE32" s="303">
        <f t="shared" si="46"/>
        <v>248.24918129122082</v>
      </c>
      <c r="AF32" s="303">
        <f t="shared" si="46"/>
        <v>244.35921552433334</v>
      </c>
      <c r="AG32" s="303">
        <f t="shared" si="46"/>
        <v>223.48569597640858</v>
      </c>
      <c r="AH32" s="303">
        <f t="shared" si="46"/>
        <v>244.69371630252243</v>
      </c>
      <c r="AI32" s="303">
        <f t="shared" si="46"/>
        <v>63.125127741415909</v>
      </c>
    </row>
    <row r="33" spans="1:35" s="298" customFormat="1" x14ac:dyDescent="0.25">
      <c r="A33" s="299">
        <v>45092</v>
      </c>
      <c r="B33" s="300">
        <f t="shared" si="48"/>
        <v>0.36138958931183718</v>
      </c>
      <c r="C33" s="300">
        <f t="shared" si="31"/>
        <v>0.49952582040189319</v>
      </c>
      <c r="D33" s="300">
        <f t="shared" si="32"/>
        <v>0.51291834277812776</v>
      </c>
      <c r="E33" s="300">
        <f t="shared" si="33"/>
        <v>0.54564648901662494</v>
      </c>
      <c r="F33" s="300">
        <f t="shared" si="34"/>
        <v>0.50875568473076738</v>
      </c>
      <c r="G33" s="300">
        <f t="shared" si="35"/>
        <v>0.54128652305846658</v>
      </c>
      <c r="H33" s="300">
        <f t="shared" si="36"/>
        <v>0.54031268968800816</v>
      </c>
      <c r="I33" s="300">
        <f t="shared" si="37"/>
        <v>0.53360517204729796</v>
      </c>
      <c r="J33" s="300">
        <f t="shared" si="38"/>
        <v>0.55015658297824122</v>
      </c>
      <c r="K33" s="300">
        <f t="shared" si="39"/>
        <v>0.54077345795273768</v>
      </c>
      <c r="L33" s="300">
        <f t="shared" si="40"/>
        <v>2.5970597074535329</v>
      </c>
      <c r="M33" s="300">
        <f t="shared" si="41"/>
        <v>2.564410924152368</v>
      </c>
      <c r="N33" s="334">
        <f t="shared" si="42"/>
        <v>2.281817147672252</v>
      </c>
      <c r="O33" s="300">
        <f t="shared" si="43"/>
        <v>2.5638932058227799</v>
      </c>
      <c r="P33" s="334">
        <f t="shared" si="44"/>
        <v>0.5854534162616285</v>
      </c>
      <c r="Q33" s="269">
        <f t="shared" si="45"/>
        <v>1.0484669835551041</v>
      </c>
      <c r="R33" s="4"/>
      <c r="S33" s="295">
        <v>45092</v>
      </c>
      <c r="T33" s="333">
        <f t="shared" si="49"/>
        <v>1604.1864275001396</v>
      </c>
      <c r="U33" s="303">
        <f t="shared" si="46"/>
        <v>40.367700535424184</v>
      </c>
      <c r="V33" s="303">
        <f t="shared" si="46"/>
        <v>55.266120506303444</v>
      </c>
      <c r="W33" s="303">
        <f t="shared" si="46"/>
        <v>56.695464307492927</v>
      </c>
      <c r="X33" s="303">
        <f t="shared" si="46"/>
        <v>60.177365959947153</v>
      </c>
      <c r="Y33" s="303">
        <f t="shared" si="46"/>
        <v>56.251478906461564</v>
      </c>
      <c r="Z33" s="303">
        <f t="shared" si="46"/>
        <v>59.714420199492707</v>
      </c>
      <c r="AA33" s="303">
        <f t="shared" si="46"/>
        <v>59.61097961932451</v>
      </c>
      <c r="AB33" s="303">
        <f t="shared" si="46"/>
        <v>58.898130540143903</v>
      </c>
      <c r="AC33" s="303">
        <f t="shared" si="46"/>
        <v>60.655960530762947</v>
      </c>
      <c r="AD33" s="303">
        <f t="shared" si="46"/>
        <v>59.659924151121366</v>
      </c>
      <c r="AE33" s="303">
        <f t="shared" si="46"/>
        <v>251.01843383942679</v>
      </c>
      <c r="AF33" s="303">
        <f t="shared" si="46"/>
        <v>248.35131281729113</v>
      </c>
      <c r="AG33" s="303">
        <f t="shared" si="46"/>
        <v>224.8188924573588</v>
      </c>
      <c r="AH33" s="303">
        <f t="shared" si="46"/>
        <v>248.30893505730145</v>
      </c>
      <c r="AI33" s="303">
        <f t="shared" si="46"/>
        <v>64.391308072287032</v>
      </c>
    </row>
    <row r="34" spans="1:35" s="298" customFormat="1" x14ac:dyDescent="0.25">
      <c r="A34" s="299">
        <v>45122</v>
      </c>
      <c r="B34" s="300">
        <f t="shared" si="48"/>
        <v>0.35850786869054535</v>
      </c>
      <c r="C34" s="300">
        <f t="shared" si="31"/>
        <v>0.49165497651816986</v>
      </c>
      <c r="D34" s="300">
        <f t="shared" si="32"/>
        <v>0.5116777117168706</v>
      </c>
      <c r="E34" s="300">
        <f t="shared" si="33"/>
        <v>0.53956722401242441</v>
      </c>
      <c r="F34" s="300">
        <f t="shared" si="34"/>
        <v>0.4977492290697923</v>
      </c>
      <c r="G34" s="300">
        <f t="shared" si="35"/>
        <v>0.53834177725248766</v>
      </c>
      <c r="H34" s="300">
        <f t="shared" si="36"/>
        <v>0.53276953158162288</v>
      </c>
      <c r="I34" s="300">
        <f t="shared" si="37"/>
        <v>0.52613264895164491</v>
      </c>
      <c r="J34" s="300">
        <f t="shared" si="38"/>
        <v>0.54899973034617366</v>
      </c>
      <c r="K34" s="300">
        <f t="shared" si="39"/>
        <v>0.53683779144424959</v>
      </c>
      <c r="L34" s="300">
        <f t="shared" si="40"/>
        <v>2.6070976910987209</v>
      </c>
      <c r="M34" s="300">
        <f t="shared" si="41"/>
        <v>2.5809668006621598</v>
      </c>
      <c r="N34" s="334">
        <f t="shared" si="42"/>
        <v>2.306126418649272</v>
      </c>
      <c r="O34" s="300">
        <f t="shared" si="43"/>
        <v>2.5845201646485161</v>
      </c>
      <c r="P34" s="334">
        <f t="shared" si="44"/>
        <v>0.58208289603640195</v>
      </c>
      <c r="Q34" s="269">
        <f t="shared" si="45"/>
        <v>1.0495354973786035</v>
      </c>
      <c r="R34" s="4"/>
      <c r="S34" s="295">
        <v>45122</v>
      </c>
      <c r="T34" s="333">
        <f t="shared" si="49"/>
        <v>1546.8905758076855</v>
      </c>
      <c r="U34" s="303">
        <f t="shared" si="46"/>
        <v>38.623264234828824</v>
      </c>
      <c r="V34" s="303">
        <f t="shared" si="46"/>
        <v>52.480993437758194</v>
      </c>
      <c r="W34" s="303">
        <f t="shared" si="46"/>
        <v>54.542930585248349</v>
      </c>
      <c r="X34" s="303">
        <f t="shared" si="46"/>
        <v>57.405522528971005</v>
      </c>
      <c r="Y34" s="303">
        <f t="shared" si="46"/>
        <v>53.10918125275127</v>
      </c>
      <c r="Z34" s="303">
        <f t="shared" si="46"/>
        <v>57.279972816322854</v>
      </c>
      <c r="AA34" s="303">
        <f t="shared" si="46"/>
        <v>56.708816973263843</v>
      </c>
      <c r="AB34" s="303">
        <f t="shared" si="46"/>
        <v>56.027963943091905</v>
      </c>
      <c r="AC34" s="303">
        <f t="shared" si="46"/>
        <v>58.371195596499618</v>
      </c>
      <c r="AD34" s="303">
        <f t="shared" si="46"/>
        <v>57.125857235008567</v>
      </c>
      <c r="AE34" s="303">
        <f t="shared" si="46"/>
        <v>242.84164057950889</v>
      </c>
      <c r="AF34" s="303">
        <f t="shared" si="46"/>
        <v>240.786515552119</v>
      </c>
      <c r="AG34" s="303">
        <f t="shared" si="46"/>
        <v>218.77208185689938</v>
      </c>
      <c r="AH34" s="303">
        <f t="shared" si="46"/>
        <v>241.06635862771424</v>
      </c>
      <c r="AI34" s="303">
        <f t="shared" si="46"/>
        <v>61.748280587699881</v>
      </c>
    </row>
    <row r="35" spans="1:35" s="298" customFormat="1" x14ac:dyDescent="0.25">
      <c r="A35" s="299">
        <v>45153</v>
      </c>
      <c r="B35" s="300">
        <f t="shared" si="48"/>
        <v>0.35810730118096895</v>
      </c>
      <c r="C35" s="300">
        <f t="shared" si="31"/>
        <v>0.50015882379269616</v>
      </c>
      <c r="D35" s="300">
        <f t="shared" si="32"/>
        <v>0.52479296212453908</v>
      </c>
      <c r="E35" s="300">
        <f t="shared" si="33"/>
        <v>0.53948148914824301</v>
      </c>
      <c r="F35" s="300">
        <f t="shared" si="34"/>
        <v>0.47895341367781974</v>
      </c>
      <c r="G35" s="300">
        <f t="shared" si="35"/>
        <v>0.52533711344965317</v>
      </c>
      <c r="H35" s="300">
        <f t="shared" si="36"/>
        <v>0.51648755802473234</v>
      </c>
      <c r="I35" s="300">
        <f t="shared" si="37"/>
        <v>0.52567247199735645</v>
      </c>
      <c r="J35" s="300">
        <f t="shared" si="38"/>
        <v>0.55184266517691749</v>
      </c>
      <c r="K35" s="300">
        <f t="shared" si="39"/>
        <v>0.54409834413648772</v>
      </c>
      <c r="L35" s="300">
        <f t="shared" si="40"/>
        <v>2.6107249339423304</v>
      </c>
      <c r="M35" s="300">
        <f t="shared" si="41"/>
        <v>2.5972212268477732</v>
      </c>
      <c r="N35" s="334">
        <f t="shared" si="42"/>
        <v>2.338011220202878</v>
      </c>
      <c r="O35" s="300">
        <f t="shared" si="43"/>
        <v>2.58205682952102</v>
      </c>
      <c r="P35" s="334">
        <f t="shared" si="44"/>
        <v>0.56072960451160003</v>
      </c>
      <c r="Q35" s="269">
        <f t="shared" si="45"/>
        <v>1.0502450638490013</v>
      </c>
      <c r="R35" s="4"/>
      <c r="S35" s="295">
        <v>45153</v>
      </c>
      <c r="T35" s="333">
        <f t="shared" si="49"/>
        <v>1429.2980404755156</v>
      </c>
      <c r="U35" s="303">
        <f t="shared" si="46"/>
        <v>35.648296333308132</v>
      </c>
      <c r="V35" s="303">
        <f t="shared" si="46"/>
        <v>49.301254935251436</v>
      </c>
      <c r="W35" s="303">
        <f t="shared" si="46"/>
        <v>51.641737983866612</v>
      </c>
      <c r="X35" s="303">
        <f t="shared" si="46"/>
        <v>53.033516765223276</v>
      </c>
      <c r="Y35" s="303">
        <f t="shared" si="46"/>
        <v>47.280155967770241</v>
      </c>
      <c r="Z35" s="303">
        <f t="shared" si="46"/>
        <v>51.693348042669193</v>
      </c>
      <c r="AA35" s="303">
        <f t="shared" si="46"/>
        <v>50.853531314925291</v>
      </c>
      <c r="AB35" s="303">
        <f t="shared" si="46"/>
        <v>51.725153214502313</v>
      </c>
      <c r="AC35" s="303">
        <f t="shared" si="46"/>
        <v>54.202595378223506</v>
      </c>
      <c r="AD35" s="303">
        <f t="shared" si="46"/>
        <v>53.470395943367571</v>
      </c>
      <c r="AE35" s="303">
        <f t="shared" si="46"/>
        <v>224.64426129165457</v>
      </c>
      <c r="AF35" s="303">
        <f t="shared" si="46"/>
        <v>223.66413988686566</v>
      </c>
      <c r="AG35" s="303">
        <f t="shared" si="46"/>
        <v>204.53620765748542</v>
      </c>
      <c r="AH35" s="303">
        <f t="shared" si="46"/>
        <v>222.56157995192558</v>
      </c>
      <c r="AI35" s="303">
        <f t="shared" si="46"/>
        <v>55.041865808476651</v>
      </c>
    </row>
    <row r="36" spans="1:35" s="313" customFormat="1" x14ac:dyDescent="0.25">
      <c r="A36" s="304">
        <v>45184</v>
      </c>
      <c r="B36" s="305">
        <f t="shared" si="48"/>
        <v>0.35741238989255436</v>
      </c>
      <c r="C36" s="305">
        <f t="shared" si="31"/>
        <v>0.53013356150894708</v>
      </c>
      <c r="D36" s="305">
        <f t="shared" si="32"/>
        <v>0.54476216498570595</v>
      </c>
      <c r="E36" s="305">
        <f t="shared" si="33"/>
        <v>0.54317046461922558</v>
      </c>
      <c r="F36" s="305">
        <f t="shared" si="34"/>
        <v>0.4370841930306465</v>
      </c>
      <c r="G36" s="305">
        <f t="shared" si="35"/>
        <v>0.4949515174048319</v>
      </c>
      <c r="H36" s="305">
        <f t="shared" si="36"/>
        <v>0.47819683445573635</v>
      </c>
      <c r="I36" s="305">
        <f t="shared" si="37"/>
        <v>0.53784545243142823</v>
      </c>
      <c r="J36" s="305">
        <f t="shared" si="38"/>
        <v>0.55411308763693368</v>
      </c>
      <c r="K36" s="305">
        <f t="shared" si="39"/>
        <v>0.56757018837280904</v>
      </c>
      <c r="L36" s="305">
        <f t="shared" si="40"/>
        <v>2.5995909782115265</v>
      </c>
      <c r="M36" s="305">
        <f t="shared" si="41"/>
        <v>2.6139286755649622</v>
      </c>
      <c r="N36" s="335">
        <f t="shared" si="42"/>
        <v>2.3850261521588254</v>
      </c>
      <c r="O36" s="305">
        <f t="shared" si="43"/>
        <v>2.5833187544712111</v>
      </c>
      <c r="P36" s="335">
        <f t="shared" si="44"/>
        <v>0.53878989180959735</v>
      </c>
      <c r="Q36" s="308">
        <f t="shared" si="45"/>
        <v>1.051059620436996</v>
      </c>
      <c r="R36" s="336"/>
      <c r="S36" s="310">
        <v>45184</v>
      </c>
      <c r="T36" s="337">
        <f t="shared" si="49"/>
        <v>1243.5450737276715</v>
      </c>
      <c r="U36" s="312">
        <f t="shared" si="46"/>
        <v>30.956721494815682</v>
      </c>
      <c r="V36" s="312">
        <f t="shared" si="46"/>
        <v>45.370882245606445</v>
      </c>
      <c r="W36" s="312">
        <f t="shared" si="46"/>
        <v>46.575963149952372</v>
      </c>
      <c r="X36" s="312">
        <f t="shared" si="46"/>
        <v>46.444958966469315</v>
      </c>
      <c r="Y36" s="312">
        <f t="shared" si="46"/>
        <v>37.648453647577981</v>
      </c>
      <c r="Z36" s="312">
        <f t="shared" si="46"/>
        <v>42.462682297609533</v>
      </c>
      <c r="AA36" s="312">
        <f t="shared" si="46"/>
        <v>41.072747149313926</v>
      </c>
      <c r="AB36" s="312">
        <f t="shared" si="46"/>
        <v>46.006477712697908</v>
      </c>
      <c r="AC36" s="312">
        <f t="shared" si="46"/>
        <v>47.345007989821646</v>
      </c>
      <c r="AD36" s="312">
        <f t="shared" si="46"/>
        <v>48.450023073101846</v>
      </c>
      <c r="AE36" s="312">
        <f t="shared" si="46"/>
        <v>194.74627771883453</v>
      </c>
      <c r="AF36" s="312">
        <f t="shared" si="46"/>
        <v>195.65138330917807</v>
      </c>
      <c r="AG36" s="312">
        <f t="shared" si="46"/>
        <v>181.01207130743563</v>
      </c>
      <c r="AH36" s="312">
        <f t="shared" si="46"/>
        <v>193.71715387939634</v>
      </c>
      <c r="AI36" s="312">
        <f t="shared" si="46"/>
        <v>46.084269785860144</v>
      </c>
    </row>
    <row r="37" spans="1:35" s="316" customFormat="1" x14ac:dyDescent="0.25">
      <c r="A37" s="299">
        <v>44849</v>
      </c>
      <c r="B37" s="300">
        <f>+U37/($T37-U37)*(Nserv-1)</f>
        <v>0.32747384011127889</v>
      </c>
      <c r="C37" s="300">
        <f t="shared" si="31"/>
        <v>0.54617756389587224</v>
      </c>
      <c r="D37" s="300">
        <f t="shared" si="32"/>
        <v>0.55639596224238586</v>
      </c>
      <c r="E37" s="300">
        <f t="shared" si="33"/>
        <v>0.53844762355252529</v>
      </c>
      <c r="F37" s="300">
        <f t="shared" si="34"/>
        <v>0.37066223490517769</v>
      </c>
      <c r="G37" s="300">
        <f t="shared" si="35"/>
        <v>0.43793537217938816</v>
      </c>
      <c r="H37" s="300">
        <f t="shared" si="36"/>
        <v>0.40787393325124238</v>
      </c>
      <c r="I37" s="300">
        <f t="shared" si="37"/>
        <v>0.57211859352123828</v>
      </c>
      <c r="J37" s="300">
        <f t="shared" si="38"/>
        <v>0.56494163577791601</v>
      </c>
      <c r="K37" s="300">
        <f t="shared" si="39"/>
        <v>0.60937473795291464</v>
      </c>
      <c r="L37" s="300">
        <f t="shared" si="40"/>
        <v>2.6345214703529392</v>
      </c>
      <c r="M37" s="300">
        <f t="shared" si="41"/>
        <v>2.7106422176897489</v>
      </c>
      <c r="N37" s="334">
        <f t="shared" si="42"/>
        <v>2.4204550701693286</v>
      </c>
      <c r="O37" s="300">
        <f t="shared" si="43"/>
        <v>2.6115898537606168</v>
      </c>
      <c r="P37" s="334">
        <f t="shared" si="44"/>
        <v>0.50678910247534137</v>
      </c>
      <c r="Q37" s="269">
        <f t="shared" si="45"/>
        <v>1.0543599474558609</v>
      </c>
      <c r="R37" s="338"/>
      <c r="S37" s="295">
        <v>44849</v>
      </c>
      <c r="T37" s="333">
        <f t="shared" si="49"/>
        <v>978.93794132449671</v>
      </c>
      <c r="U37" s="303">
        <f>U17*U$23</f>
        <v>22.374953913974338</v>
      </c>
      <c r="V37" s="303">
        <f t="shared" si="46"/>
        <v>36.757006275307234</v>
      </c>
      <c r="W37" s="303">
        <f t="shared" si="46"/>
        <v>37.418404888933587</v>
      </c>
      <c r="X37" s="303">
        <f t="shared" si="46"/>
        <v>36.256058539403817</v>
      </c>
      <c r="Y37" s="303">
        <f t="shared" si="46"/>
        <v>25.249728873556389</v>
      </c>
      <c r="Z37" s="303">
        <f t="shared" si="46"/>
        <v>29.693411185407875</v>
      </c>
      <c r="AA37" s="303">
        <f t="shared" si="46"/>
        <v>27.712851346888154</v>
      </c>
      <c r="AB37" s="303">
        <f t="shared" si="46"/>
        <v>38.434260230640305</v>
      </c>
      <c r="AC37" s="303">
        <f t="shared" si="46"/>
        <v>37.970821698207828</v>
      </c>
      <c r="AD37" s="303">
        <f t="shared" si="46"/>
        <v>40.832688747250856</v>
      </c>
      <c r="AE37" s="303">
        <f t="shared" si="46"/>
        <v>155.0410108976686</v>
      </c>
      <c r="AF37" s="303">
        <f t="shared" si="46"/>
        <v>158.79404739115557</v>
      </c>
      <c r="AG37" s="303">
        <f t="shared" si="46"/>
        <v>144.30022148195971</v>
      </c>
      <c r="AH37" s="303">
        <f t="shared" si="46"/>
        <v>153.90365507041392</v>
      </c>
      <c r="AI37" s="303">
        <f t="shared" si="46"/>
        <v>34.198820783728522</v>
      </c>
    </row>
    <row r="38" spans="1:35" s="316" customFormat="1" x14ac:dyDescent="0.25">
      <c r="A38" s="299">
        <v>44880</v>
      </c>
      <c r="B38" s="300">
        <f t="shared" si="48"/>
        <v>0.26901121539634465</v>
      </c>
      <c r="C38" s="300">
        <f t="shared" si="31"/>
        <v>0.56475720715875599</v>
      </c>
      <c r="D38" s="300">
        <f t="shared" si="32"/>
        <v>0.56679178417704956</v>
      </c>
      <c r="E38" s="300">
        <f t="shared" si="33"/>
        <v>0.54653103226559585</v>
      </c>
      <c r="F38" s="300">
        <f t="shared" si="34"/>
        <v>0.33450838371839897</v>
      </c>
      <c r="G38" s="300">
        <f t="shared" si="35"/>
        <v>0.40654298304963088</v>
      </c>
      <c r="H38" s="300">
        <f t="shared" si="36"/>
        <v>0.38774790919143887</v>
      </c>
      <c r="I38" s="300">
        <f t="shared" si="37"/>
        <v>0.59462797338535667</v>
      </c>
      <c r="J38" s="300">
        <f t="shared" si="38"/>
        <v>0.55939133945573882</v>
      </c>
      <c r="K38" s="300">
        <f t="shared" si="39"/>
        <v>0.62417714066757868</v>
      </c>
      <c r="L38" s="300">
        <f t="shared" si="40"/>
        <v>2.6939596233622258</v>
      </c>
      <c r="M38" s="300">
        <f t="shared" si="41"/>
        <v>2.7959555737412907</v>
      </c>
      <c r="N38" s="334">
        <f t="shared" si="42"/>
        <v>2.4653464270212306</v>
      </c>
      <c r="O38" s="300">
        <f t="shared" si="43"/>
        <v>2.5930907555270553</v>
      </c>
      <c r="P38" s="334">
        <f t="shared" si="44"/>
        <v>0.45826786148114212</v>
      </c>
      <c r="Q38" s="269">
        <f t="shared" si="45"/>
        <v>1.0573804806399223</v>
      </c>
      <c r="R38" s="338"/>
      <c r="S38" s="295">
        <v>44880</v>
      </c>
      <c r="T38" s="333">
        <f t="shared" si="49"/>
        <v>736.99007107678381</v>
      </c>
      <c r="U38" s="303">
        <f t="shared" si="46"/>
        <v>13.894347110855298</v>
      </c>
      <c r="V38" s="303">
        <f t="shared" si="46"/>
        <v>28.577232584452567</v>
      </c>
      <c r="W38" s="303">
        <f t="shared" si="46"/>
        <v>28.676178220665072</v>
      </c>
      <c r="X38" s="303">
        <f t="shared" si="46"/>
        <v>27.689621905158511</v>
      </c>
      <c r="Y38" s="303">
        <f t="shared" si="46"/>
        <v>17.198312693612777</v>
      </c>
      <c r="Z38" s="303">
        <f t="shared" si="46"/>
        <v>20.797365636297219</v>
      </c>
      <c r="AA38" s="303">
        <f t="shared" si="46"/>
        <v>19.861785246620457</v>
      </c>
      <c r="AB38" s="303">
        <f t="shared" si="46"/>
        <v>30.027138284626336</v>
      </c>
      <c r="AC38" s="303">
        <f t="shared" si="46"/>
        <v>28.316146836989521</v>
      </c>
      <c r="AD38" s="303">
        <f t="shared" si="46"/>
        <v>31.4556060720763</v>
      </c>
      <c r="AE38" s="303">
        <f t="shared" si="46"/>
        <v>118.93053170688341</v>
      </c>
      <c r="AF38" s="303">
        <f t="shared" si="46"/>
        <v>122.68379062877742</v>
      </c>
      <c r="AG38" s="303">
        <f t="shared" si="46"/>
        <v>110.3490805087164</v>
      </c>
      <c r="AH38" s="303">
        <f t="shared" si="46"/>
        <v>115.1733675408161</v>
      </c>
      <c r="AI38" s="303">
        <f t="shared" si="46"/>
        <v>23.359566100236425</v>
      </c>
    </row>
    <row r="39" spans="1:35" s="316" customFormat="1" x14ac:dyDescent="0.25">
      <c r="A39" s="317">
        <v>44910</v>
      </c>
      <c r="B39" s="318">
        <f t="shared" si="48"/>
        <v>0.24532293150170212</v>
      </c>
      <c r="C39" s="318">
        <f t="shared" si="31"/>
        <v>0.5741535465979114</v>
      </c>
      <c r="D39" s="318">
        <f t="shared" si="32"/>
        <v>0.56548025149774461</v>
      </c>
      <c r="E39" s="318">
        <f t="shared" si="33"/>
        <v>0.55283619940294149</v>
      </c>
      <c r="F39" s="318">
        <f t="shared" si="34"/>
        <v>0.34094975031424024</v>
      </c>
      <c r="G39" s="318">
        <f t="shared" si="35"/>
        <v>0.39997126183513582</v>
      </c>
      <c r="H39" s="318">
        <f t="shared" si="36"/>
        <v>0.35807549148381501</v>
      </c>
      <c r="I39" s="318">
        <f t="shared" si="37"/>
        <v>0.59147130452154228</v>
      </c>
      <c r="J39" s="318">
        <f t="shared" si="38"/>
        <v>0.55918190743586516</v>
      </c>
      <c r="K39" s="318">
        <f t="shared" si="39"/>
        <v>0.64550742943557726</v>
      </c>
      <c r="L39" s="318">
        <f t="shared" si="40"/>
        <v>2.7357891122759779</v>
      </c>
      <c r="M39" s="318">
        <f t="shared" si="41"/>
        <v>2.8338331764867113</v>
      </c>
      <c r="N39" s="339">
        <f t="shared" si="42"/>
        <v>2.484437379196172</v>
      </c>
      <c r="O39" s="318">
        <f t="shared" si="43"/>
        <v>2.5890033291048375</v>
      </c>
      <c r="P39" s="339">
        <f t="shared" si="44"/>
        <v>0.41028454615934312</v>
      </c>
      <c r="Q39" s="269">
        <f t="shared" si="45"/>
        <v>1.0590865078166345</v>
      </c>
      <c r="R39" s="338"/>
      <c r="S39" s="295">
        <v>44910</v>
      </c>
      <c r="T39" s="340">
        <f t="shared" si="49"/>
        <v>604.03081519531736</v>
      </c>
      <c r="U39" s="322">
        <f t="shared" si="46"/>
        <v>10.402193829765087</v>
      </c>
      <c r="V39" s="322">
        <f t="shared" si="46"/>
        <v>23.795991560674555</v>
      </c>
      <c r="W39" s="322">
        <f t="shared" si="46"/>
        <v>23.450479585382219</v>
      </c>
      <c r="X39" s="322">
        <f t="shared" si="46"/>
        <v>22.94604952734505</v>
      </c>
      <c r="Y39" s="322">
        <f t="shared" si="46"/>
        <v>14.360566016099304</v>
      </c>
      <c r="Z39" s="322">
        <f t="shared" si="46"/>
        <v>16.777461770447164</v>
      </c>
      <c r="AA39" s="322">
        <f t="shared" si="46"/>
        <v>15.063901227620629</v>
      </c>
      <c r="AB39" s="322">
        <f t="shared" si="46"/>
        <v>24.484638099797149</v>
      </c>
      <c r="AC39" s="322">
        <f t="shared" si="46"/>
        <v>23.199318858599543</v>
      </c>
      <c r="AD39" s="322">
        <f t="shared" si="46"/>
        <v>26.622934076899522</v>
      </c>
      <c r="AE39" s="322">
        <f t="shared" si="46"/>
        <v>98.740544386902911</v>
      </c>
      <c r="AF39" s="322">
        <f t="shared" si="46"/>
        <v>101.68346958028054</v>
      </c>
      <c r="AG39" s="322">
        <f t="shared" si="46"/>
        <v>91.035969316822317</v>
      </c>
      <c r="AH39" s="322">
        <f t="shared" si="46"/>
        <v>94.269544733822897</v>
      </c>
      <c r="AI39" s="322">
        <f t="shared" si="46"/>
        <v>17.197752624858438</v>
      </c>
    </row>
  </sheetData>
  <conditionalFormatting sqref="B4:B6">
    <cfRule type="cellIs" dxfId="98" priority="95" stopIfTrue="1" operator="lessThan">
      <formula>0.9</formula>
    </cfRule>
    <cfRule type="cellIs" dxfId="97" priority="96" stopIfTrue="1" operator="between">
      <formula>90%</formula>
      <formula>94%</formula>
    </cfRule>
  </conditionalFormatting>
  <conditionalFormatting sqref="B4:B6">
    <cfRule type="cellIs" dxfId="96" priority="94" stopIfTrue="1" operator="greaterThan">
      <formula>1</formula>
    </cfRule>
  </conditionalFormatting>
  <conditionalFormatting sqref="B8:B19">
    <cfRule type="cellIs" dxfId="95" priority="92" stopIfTrue="1" operator="lessThan">
      <formula>0.9</formula>
    </cfRule>
    <cfRule type="cellIs" dxfId="94" priority="93" stopIfTrue="1" operator="between">
      <formula>90%</formula>
      <formula>94%</formula>
    </cfRule>
  </conditionalFormatting>
  <conditionalFormatting sqref="B8:B19">
    <cfRule type="cellIs" dxfId="93" priority="91" stopIfTrue="1" operator="greaterThan">
      <formula>1</formula>
    </cfRule>
  </conditionalFormatting>
  <conditionalFormatting sqref="C4:C6">
    <cfRule type="cellIs" dxfId="92" priority="89" stopIfTrue="1" operator="lessThan">
      <formula>0.9</formula>
    </cfRule>
    <cfRule type="cellIs" dxfId="91" priority="90" stopIfTrue="1" operator="between">
      <formula>90%</formula>
      <formula>94%</formula>
    </cfRule>
  </conditionalFormatting>
  <conditionalFormatting sqref="C4:C6">
    <cfRule type="cellIs" dxfId="90" priority="88" stopIfTrue="1" operator="greaterThan">
      <formula>1</formula>
    </cfRule>
  </conditionalFormatting>
  <conditionalFormatting sqref="E4:E6">
    <cfRule type="cellIs" dxfId="89" priority="86" stopIfTrue="1" operator="lessThan">
      <formula>0.9</formula>
    </cfRule>
    <cfRule type="cellIs" dxfId="88" priority="87" stopIfTrue="1" operator="between">
      <formula>90%</formula>
      <formula>94%</formula>
    </cfRule>
  </conditionalFormatting>
  <conditionalFormatting sqref="E4:E6">
    <cfRule type="cellIs" dxfId="87" priority="85" stopIfTrue="1" operator="greaterThan">
      <formula>1</formula>
    </cfRule>
  </conditionalFormatting>
  <conditionalFormatting sqref="D4:D6">
    <cfRule type="cellIs" dxfId="86" priority="83" stopIfTrue="1" operator="lessThan">
      <formula>0.9</formula>
    </cfRule>
    <cfRule type="cellIs" dxfId="85" priority="84" stopIfTrue="1" operator="between">
      <formula>90%</formula>
      <formula>94%</formula>
    </cfRule>
  </conditionalFormatting>
  <conditionalFormatting sqref="D4:D6">
    <cfRule type="cellIs" dxfId="84" priority="82" stopIfTrue="1" operator="greaterThan">
      <formula>1</formula>
    </cfRule>
  </conditionalFormatting>
  <conditionalFormatting sqref="F4:F6">
    <cfRule type="cellIs" dxfId="83" priority="80" stopIfTrue="1" operator="lessThan">
      <formula>0.9</formula>
    </cfRule>
    <cfRule type="cellIs" dxfId="82" priority="81" stopIfTrue="1" operator="between">
      <formula>90%</formula>
      <formula>94%</formula>
    </cfRule>
  </conditionalFormatting>
  <conditionalFormatting sqref="F4:F6">
    <cfRule type="cellIs" dxfId="81" priority="79" stopIfTrue="1" operator="greaterThan">
      <formula>1</formula>
    </cfRule>
  </conditionalFormatting>
  <conditionalFormatting sqref="G4:G6">
    <cfRule type="cellIs" dxfId="80" priority="77" stopIfTrue="1" operator="lessThan">
      <formula>0.9</formula>
    </cfRule>
    <cfRule type="cellIs" dxfId="79" priority="78" stopIfTrue="1" operator="between">
      <formula>90%</formula>
      <formula>94%</formula>
    </cfRule>
  </conditionalFormatting>
  <conditionalFormatting sqref="G4:G6">
    <cfRule type="cellIs" dxfId="78" priority="76" stopIfTrue="1" operator="greaterThan">
      <formula>1</formula>
    </cfRule>
  </conditionalFormatting>
  <conditionalFormatting sqref="H4:H6">
    <cfRule type="cellIs" dxfId="77" priority="74" stopIfTrue="1" operator="lessThan">
      <formula>0.9</formula>
    </cfRule>
    <cfRule type="cellIs" dxfId="76" priority="75" stopIfTrue="1" operator="between">
      <formula>90%</formula>
      <formula>94%</formula>
    </cfRule>
  </conditionalFormatting>
  <conditionalFormatting sqref="H4:H6">
    <cfRule type="cellIs" dxfId="75" priority="73" stopIfTrue="1" operator="greaterThan">
      <formula>1</formula>
    </cfRule>
  </conditionalFormatting>
  <conditionalFormatting sqref="I4:I6">
    <cfRule type="cellIs" dxfId="74" priority="71" stopIfTrue="1" operator="lessThan">
      <formula>0.9</formula>
    </cfRule>
    <cfRule type="cellIs" dxfId="73" priority="72" stopIfTrue="1" operator="between">
      <formula>90%</formula>
      <formula>94%</formula>
    </cfRule>
  </conditionalFormatting>
  <conditionalFormatting sqref="I4:I6">
    <cfRule type="cellIs" dxfId="72" priority="70" stopIfTrue="1" operator="greaterThan">
      <formula>1</formula>
    </cfRule>
  </conditionalFormatting>
  <conditionalFormatting sqref="J4:J6">
    <cfRule type="cellIs" dxfId="71" priority="68" stopIfTrue="1" operator="lessThan">
      <formula>0.9</formula>
    </cfRule>
    <cfRule type="cellIs" dxfId="70" priority="69" stopIfTrue="1" operator="between">
      <formula>90%</formula>
      <formula>94%</formula>
    </cfRule>
  </conditionalFormatting>
  <conditionalFormatting sqref="J4:J6">
    <cfRule type="cellIs" dxfId="69" priority="67" stopIfTrue="1" operator="greaterThan">
      <formula>1</formula>
    </cfRule>
  </conditionalFormatting>
  <conditionalFormatting sqref="K4:K6">
    <cfRule type="cellIs" dxfId="68" priority="65" stopIfTrue="1" operator="lessThan">
      <formula>0.9</formula>
    </cfRule>
    <cfRule type="cellIs" dxfId="67" priority="66" stopIfTrue="1" operator="between">
      <formula>90%</formula>
      <formula>94%</formula>
    </cfRule>
  </conditionalFormatting>
  <conditionalFormatting sqref="K4:K6">
    <cfRule type="cellIs" dxfId="66" priority="64" stopIfTrue="1" operator="greaterThan">
      <formula>1</formula>
    </cfRule>
  </conditionalFormatting>
  <conditionalFormatting sqref="L4:L6">
    <cfRule type="cellIs" dxfId="65" priority="62" stopIfTrue="1" operator="lessThan">
      <formula>0.9</formula>
    </cfRule>
    <cfRule type="cellIs" dxfId="64" priority="63" stopIfTrue="1" operator="between">
      <formula>90%</formula>
      <formula>94%</formula>
    </cfRule>
  </conditionalFormatting>
  <conditionalFormatting sqref="L4:L6">
    <cfRule type="cellIs" dxfId="63" priority="61" stopIfTrue="1" operator="greaterThan">
      <formula>1</formula>
    </cfRule>
  </conditionalFormatting>
  <conditionalFormatting sqref="M4:M6">
    <cfRule type="cellIs" dxfId="62" priority="59" stopIfTrue="1" operator="lessThan">
      <formula>0.9</formula>
    </cfRule>
    <cfRule type="cellIs" dxfId="61" priority="60" stopIfTrue="1" operator="between">
      <formula>90%</formula>
      <formula>94%</formula>
    </cfRule>
  </conditionalFormatting>
  <conditionalFormatting sqref="M4:M6">
    <cfRule type="cellIs" dxfId="60" priority="58" stopIfTrue="1" operator="greaterThan">
      <formula>1</formula>
    </cfRule>
  </conditionalFormatting>
  <conditionalFormatting sqref="N4:N6">
    <cfRule type="cellIs" dxfId="59" priority="56" stopIfTrue="1" operator="lessThan">
      <formula>0.9</formula>
    </cfRule>
    <cfRule type="cellIs" dxfId="58" priority="57" stopIfTrue="1" operator="between">
      <formula>90%</formula>
      <formula>94%</formula>
    </cfRule>
  </conditionalFormatting>
  <conditionalFormatting sqref="N4:N6">
    <cfRule type="cellIs" dxfId="57" priority="55" stopIfTrue="1" operator="greaterThan">
      <formula>1</formula>
    </cfRule>
  </conditionalFormatting>
  <conditionalFormatting sqref="C8:C19">
    <cfRule type="cellIs" dxfId="56" priority="53" stopIfTrue="1" operator="lessThan">
      <formula>0.9</formula>
    </cfRule>
    <cfRule type="cellIs" dxfId="55" priority="54" stopIfTrue="1" operator="between">
      <formula>90%</formula>
      <formula>94%</formula>
    </cfRule>
  </conditionalFormatting>
  <conditionalFormatting sqref="C8:C19">
    <cfRule type="cellIs" dxfId="54" priority="52" stopIfTrue="1" operator="greaterThan">
      <formula>1</formula>
    </cfRule>
  </conditionalFormatting>
  <conditionalFormatting sqref="E8:E19">
    <cfRule type="cellIs" dxfId="53" priority="50" stopIfTrue="1" operator="lessThan">
      <formula>0.9</formula>
    </cfRule>
    <cfRule type="cellIs" dxfId="52" priority="51" stopIfTrue="1" operator="between">
      <formula>90%</formula>
      <formula>94%</formula>
    </cfRule>
  </conditionalFormatting>
  <conditionalFormatting sqref="E8:E19">
    <cfRule type="cellIs" dxfId="51" priority="49" stopIfTrue="1" operator="greaterThan">
      <formula>1</formula>
    </cfRule>
  </conditionalFormatting>
  <conditionalFormatting sqref="D8:D19">
    <cfRule type="cellIs" dxfId="50" priority="47" stopIfTrue="1" operator="lessThan">
      <formula>0.9</formula>
    </cfRule>
    <cfRule type="cellIs" dxfId="49" priority="48" stopIfTrue="1" operator="between">
      <formula>90%</formula>
      <formula>94%</formula>
    </cfRule>
  </conditionalFormatting>
  <conditionalFormatting sqref="D8:D19">
    <cfRule type="cellIs" dxfId="48" priority="46" stopIfTrue="1" operator="greaterThan">
      <formula>1</formula>
    </cfRule>
  </conditionalFormatting>
  <conditionalFormatting sqref="F8:F19">
    <cfRule type="cellIs" dxfId="47" priority="44" stopIfTrue="1" operator="lessThan">
      <formula>0.9</formula>
    </cfRule>
    <cfRule type="cellIs" dxfId="46" priority="45" stopIfTrue="1" operator="between">
      <formula>90%</formula>
      <formula>94%</formula>
    </cfRule>
  </conditionalFormatting>
  <conditionalFormatting sqref="F8:F19">
    <cfRule type="cellIs" dxfId="45" priority="43" stopIfTrue="1" operator="greaterThan">
      <formula>1</formula>
    </cfRule>
  </conditionalFormatting>
  <conditionalFormatting sqref="G8:G19">
    <cfRule type="cellIs" dxfId="44" priority="41" stopIfTrue="1" operator="lessThan">
      <formula>0.9</formula>
    </cfRule>
    <cfRule type="cellIs" dxfId="43" priority="42" stopIfTrue="1" operator="between">
      <formula>90%</formula>
      <formula>94%</formula>
    </cfRule>
  </conditionalFormatting>
  <conditionalFormatting sqref="G8:G19">
    <cfRule type="cellIs" dxfId="42" priority="40" stopIfTrue="1" operator="greaterThan">
      <formula>1</formula>
    </cfRule>
  </conditionalFormatting>
  <conditionalFormatting sqref="H8:H19">
    <cfRule type="cellIs" dxfId="41" priority="38" stopIfTrue="1" operator="lessThan">
      <formula>0.9</formula>
    </cfRule>
    <cfRule type="cellIs" dxfId="40" priority="39" stopIfTrue="1" operator="between">
      <formula>90%</formula>
      <formula>94%</formula>
    </cfRule>
  </conditionalFormatting>
  <conditionalFormatting sqref="H8:H19">
    <cfRule type="cellIs" dxfId="39" priority="37" stopIfTrue="1" operator="greaterThan">
      <formula>1</formula>
    </cfRule>
  </conditionalFormatting>
  <conditionalFormatting sqref="I8:I19">
    <cfRule type="cellIs" dxfId="38" priority="35" stopIfTrue="1" operator="lessThan">
      <formula>0.9</formula>
    </cfRule>
    <cfRule type="cellIs" dxfId="37" priority="36" stopIfTrue="1" operator="between">
      <formula>90%</formula>
      <formula>94%</formula>
    </cfRule>
  </conditionalFormatting>
  <conditionalFormatting sqref="I8:I19">
    <cfRule type="cellIs" dxfId="36" priority="34" stopIfTrue="1" operator="greaterThan">
      <formula>1</formula>
    </cfRule>
  </conditionalFormatting>
  <conditionalFormatting sqref="J8:J19">
    <cfRule type="cellIs" dxfId="35" priority="32" stopIfTrue="1" operator="lessThan">
      <formula>0.9</formula>
    </cfRule>
    <cfRule type="cellIs" dxfId="34" priority="33" stopIfTrue="1" operator="between">
      <formula>90%</formula>
      <formula>94%</formula>
    </cfRule>
  </conditionalFormatting>
  <conditionalFormatting sqref="J8:J19">
    <cfRule type="cellIs" dxfId="33" priority="31" stopIfTrue="1" operator="greaterThan">
      <formula>1</formula>
    </cfRule>
  </conditionalFormatting>
  <conditionalFormatting sqref="K8:K19">
    <cfRule type="cellIs" dxfId="32" priority="29" stopIfTrue="1" operator="lessThan">
      <formula>0.9</formula>
    </cfRule>
    <cfRule type="cellIs" dxfId="31" priority="30" stopIfTrue="1" operator="between">
      <formula>90%</formula>
      <formula>94%</formula>
    </cfRule>
  </conditionalFormatting>
  <conditionalFormatting sqref="K8:K19">
    <cfRule type="cellIs" dxfId="30" priority="28" stopIfTrue="1" operator="greaterThan">
      <formula>1</formula>
    </cfRule>
  </conditionalFormatting>
  <conditionalFormatting sqref="L8:L19">
    <cfRule type="cellIs" dxfId="29" priority="26" stopIfTrue="1" operator="lessThan">
      <formula>0.9</formula>
    </cfRule>
    <cfRule type="cellIs" dxfId="28" priority="27" stopIfTrue="1" operator="between">
      <formula>90%</formula>
      <formula>94%</formula>
    </cfRule>
  </conditionalFormatting>
  <conditionalFormatting sqref="L8:L19">
    <cfRule type="cellIs" dxfId="27" priority="25" stopIfTrue="1" operator="greaterThan">
      <formula>1</formula>
    </cfRule>
  </conditionalFormatting>
  <conditionalFormatting sqref="M8:M19">
    <cfRule type="cellIs" dxfId="26" priority="23" stopIfTrue="1" operator="lessThan">
      <formula>0.9</formula>
    </cfRule>
    <cfRule type="cellIs" dxfId="25" priority="24" stopIfTrue="1" operator="between">
      <formula>90%</formula>
      <formula>94%</formula>
    </cfRule>
  </conditionalFormatting>
  <conditionalFormatting sqref="M8:M19">
    <cfRule type="cellIs" dxfId="24" priority="22" stopIfTrue="1" operator="greaterThan">
      <formula>1</formula>
    </cfRule>
  </conditionalFormatting>
  <conditionalFormatting sqref="N8:N19">
    <cfRule type="cellIs" dxfId="23" priority="20" stopIfTrue="1" operator="lessThan">
      <formula>0.9</formula>
    </cfRule>
    <cfRule type="cellIs" dxfId="22" priority="21" stopIfTrue="1" operator="between">
      <formula>90%</formula>
      <formula>94%</formula>
    </cfRule>
  </conditionalFormatting>
  <conditionalFormatting sqref="N8:N19">
    <cfRule type="cellIs" dxfId="21" priority="19" stopIfTrue="1" operator="greaterThan">
      <formula>1</formula>
    </cfRule>
  </conditionalFormatting>
  <conditionalFormatting sqref="O4:P6">
    <cfRule type="cellIs" dxfId="20" priority="11" stopIfTrue="1" operator="lessThan">
      <formula>0.9</formula>
    </cfRule>
    <cfRule type="cellIs" dxfId="19" priority="12" stopIfTrue="1" operator="between">
      <formula>90%</formula>
      <formula>94%</formula>
    </cfRule>
  </conditionalFormatting>
  <conditionalFormatting sqref="O4:P6">
    <cfRule type="cellIs" dxfId="18" priority="10" stopIfTrue="1" operator="greaterThan">
      <formula>1</formula>
    </cfRule>
  </conditionalFormatting>
  <conditionalFormatting sqref="N8:N19">
    <cfRule type="cellIs" dxfId="17" priority="8" stopIfTrue="1" operator="lessThan">
      <formula>0.9</formula>
    </cfRule>
    <cfRule type="cellIs" dxfId="16" priority="9" stopIfTrue="1" operator="between">
      <formula>90%</formula>
      <formula>94%</formula>
    </cfRule>
  </conditionalFormatting>
  <conditionalFormatting sqref="N8:N19">
    <cfRule type="cellIs" dxfId="15" priority="7" stopIfTrue="1" operator="greaterThan">
      <formula>1</formula>
    </cfRule>
  </conditionalFormatting>
  <conditionalFormatting sqref="O8:O19">
    <cfRule type="cellIs" dxfId="14" priority="17" stopIfTrue="1" operator="lessThan">
      <formula>0.9</formula>
    </cfRule>
    <cfRule type="cellIs" dxfId="13" priority="18" stopIfTrue="1" operator="between">
      <formula>90%</formula>
      <formula>94%</formula>
    </cfRule>
  </conditionalFormatting>
  <conditionalFormatting sqref="O8:O19">
    <cfRule type="cellIs" dxfId="12" priority="16" stopIfTrue="1" operator="greaterThan">
      <formula>1</formula>
    </cfRule>
  </conditionalFormatting>
  <conditionalFormatting sqref="P8:P19">
    <cfRule type="cellIs" dxfId="11" priority="14" stopIfTrue="1" operator="lessThan">
      <formula>0.9</formula>
    </cfRule>
    <cfRule type="cellIs" dxfId="10" priority="15" stopIfTrue="1" operator="between">
      <formula>90%</formula>
      <formula>94%</formula>
    </cfRule>
  </conditionalFormatting>
  <conditionalFormatting sqref="P8:P19">
    <cfRule type="cellIs" dxfId="9" priority="13" stopIfTrue="1" operator="greaterThan">
      <formula>1</formula>
    </cfRule>
  </conditionalFormatting>
  <conditionalFormatting sqref="O8:O19">
    <cfRule type="cellIs" dxfId="8" priority="5" stopIfTrue="1" operator="lessThan">
      <formula>0.9</formula>
    </cfRule>
    <cfRule type="cellIs" dxfId="7" priority="6" stopIfTrue="1" operator="between">
      <formula>90%</formula>
      <formula>94%</formula>
    </cfRule>
  </conditionalFormatting>
  <conditionalFormatting sqref="O8:O19">
    <cfRule type="cellIs" dxfId="6" priority="4" stopIfTrue="1" operator="greaterThan">
      <formula>1</formula>
    </cfRule>
  </conditionalFormatting>
  <conditionalFormatting sqref="P8:P19">
    <cfRule type="cellIs" dxfId="5" priority="2" stopIfTrue="1" operator="lessThan">
      <formula>0.9</formula>
    </cfRule>
    <cfRule type="cellIs" dxfId="4" priority="3" stopIfTrue="1" operator="between">
      <formula>90%</formula>
      <formula>94%</formula>
    </cfRule>
  </conditionalFormatting>
  <conditionalFormatting sqref="P8:P19">
    <cfRule type="cellIs" dxfId="3" priority="1" stopIfTrue="1" operator="greaterThan">
      <formula>1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opLeftCell="E1" workbookViewId="0">
      <selection activeCell="S3" sqref="S3:AG3"/>
    </sheetView>
  </sheetViews>
  <sheetFormatPr baseColWidth="10" defaultRowHeight="15" x14ac:dyDescent="0.25"/>
  <cols>
    <col min="1" max="1" width="6.28515625" style="193" customWidth="1"/>
    <col min="2" max="16" width="8.85546875" style="2" customWidth="1"/>
    <col min="17" max="17" width="8.85546875" style="183" customWidth="1"/>
    <col min="18" max="18" width="10.28515625" style="253" customWidth="1"/>
    <col min="19" max="33" width="8.85546875" style="184" customWidth="1"/>
    <col min="34" max="34" width="8.85546875" style="212" customWidth="1"/>
    <col min="35" max="16384" width="11.42578125" style="189"/>
  </cols>
  <sheetData>
    <row r="1" spans="1:34" ht="18.75" x14ac:dyDescent="0.25">
      <c r="A1" s="182" t="s">
        <v>61</v>
      </c>
      <c r="R1" s="182" t="s">
        <v>62</v>
      </c>
      <c r="AC1" s="185"/>
      <c r="AD1" s="186"/>
      <c r="AE1" s="187"/>
      <c r="AF1" s="186"/>
      <c r="AG1" s="187"/>
      <c r="AH1" s="188"/>
    </row>
    <row r="2" spans="1:34" ht="33.75" x14ac:dyDescent="0.25">
      <c r="A2" s="190"/>
      <c r="R2" s="191" t="s">
        <v>24</v>
      </c>
      <c r="S2" s="12" t="s">
        <v>5</v>
      </c>
      <c r="T2" s="12" t="s">
        <v>6</v>
      </c>
      <c r="U2" s="12" t="s">
        <v>7</v>
      </c>
      <c r="V2" s="12" t="s">
        <v>8</v>
      </c>
      <c r="W2" s="12" t="s">
        <v>9</v>
      </c>
      <c r="X2" s="12" t="s">
        <v>10</v>
      </c>
      <c r="Y2" s="12" t="s">
        <v>11</v>
      </c>
      <c r="Z2" s="12" t="s">
        <v>12</v>
      </c>
      <c r="AA2" s="12" t="s">
        <v>13</v>
      </c>
      <c r="AB2" s="12" t="s">
        <v>14</v>
      </c>
      <c r="AC2" s="12" t="s">
        <v>15</v>
      </c>
      <c r="AD2" s="12" t="s">
        <v>16</v>
      </c>
      <c r="AE2" s="12" t="s">
        <v>17</v>
      </c>
      <c r="AF2" s="12" t="s">
        <v>18</v>
      </c>
      <c r="AG2" s="12" t="s">
        <v>19</v>
      </c>
      <c r="AH2" s="192"/>
    </row>
    <row r="3" spans="1:34" ht="15.75" thickBot="1" x14ac:dyDescent="0.3">
      <c r="M3" s="194" t="s">
        <v>63</v>
      </c>
      <c r="N3" s="195" t="s">
        <v>64</v>
      </c>
      <c r="Q3" s="196"/>
      <c r="R3" s="197" t="s">
        <v>65</v>
      </c>
      <c r="S3" s="436">
        <v>0.23730000000000001</v>
      </c>
      <c r="T3" s="437">
        <v>0.23730000000000001</v>
      </c>
      <c r="U3" s="437">
        <v>0.23730000000000001</v>
      </c>
      <c r="V3" s="437">
        <v>0.23730000000000001</v>
      </c>
      <c r="W3" s="437">
        <v>0.23730000000000001</v>
      </c>
      <c r="X3" s="437">
        <v>0.23730000000000001</v>
      </c>
      <c r="Y3" s="437">
        <v>0.23730000000000001</v>
      </c>
      <c r="Z3" s="437">
        <v>0.1963</v>
      </c>
      <c r="AA3" s="437">
        <v>0.1963</v>
      </c>
      <c r="AB3" s="437">
        <v>0.1963</v>
      </c>
      <c r="AC3" s="437">
        <v>0.1207</v>
      </c>
      <c r="AD3" s="437">
        <v>0.1207</v>
      </c>
      <c r="AE3" s="437">
        <v>0.1207</v>
      </c>
      <c r="AF3" s="437">
        <v>0.1135</v>
      </c>
      <c r="AG3" s="438">
        <v>0.15210000000000001</v>
      </c>
      <c r="AH3" s="198"/>
    </row>
    <row r="4" spans="1:34" s="199" customFormat="1" ht="19.5" thickBot="1" x14ac:dyDescent="0.35">
      <c r="L4" s="200" t="s">
        <v>66</v>
      </c>
      <c r="M4" s="201">
        <v>2</v>
      </c>
      <c r="N4" s="202">
        <v>7</v>
      </c>
      <c r="O4" s="203" t="s">
        <v>67</v>
      </c>
      <c r="P4" s="2"/>
      <c r="Q4" s="204"/>
      <c r="R4" s="205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7"/>
    </row>
    <row r="5" spans="1:34" s="213" customFormat="1" ht="15.75" x14ac:dyDescent="0.25">
      <c r="A5" s="208" t="s">
        <v>68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09"/>
      <c r="R5" s="210" t="s">
        <v>68</v>
      </c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2"/>
    </row>
    <row r="6" spans="1:34" s="213" customFormat="1" ht="33.75" x14ac:dyDescent="0.2">
      <c r="A6" s="88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17</v>
      </c>
      <c r="O6" s="12" t="s">
        <v>18</v>
      </c>
      <c r="P6" s="12" t="s">
        <v>19</v>
      </c>
      <c r="Q6" s="214" t="s">
        <v>56</v>
      </c>
      <c r="R6" s="215" t="s">
        <v>4</v>
      </c>
      <c r="S6" s="12" t="s">
        <v>5</v>
      </c>
      <c r="T6" s="12" t="s">
        <v>6</v>
      </c>
      <c r="U6" s="12" t="s">
        <v>7</v>
      </c>
      <c r="V6" s="12" t="s">
        <v>8</v>
      </c>
      <c r="W6" s="12" t="s">
        <v>9</v>
      </c>
      <c r="X6" s="12" t="s">
        <v>10</v>
      </c>
      <c r="Y6" s="12" t="s">
        <v>11</v>
      </c>
      <c r="Z6" s="12" t="s">
        <v>12</v>
      </c>
      <c r="AA6" s="12" t="s">
        <v>13</v>
      </c>
      <c r="AB6" s="12" t="s">
        <v>14</v>
      </c>
      <c r="AC6" s="12" t="s">
        <v>15</v>
      </c>
      <c r="AD6" s="12" t="s">
        <v>16</v>
      </c>
      <c r="AE6" s="12" t="s">
        <v>17</v>
      </c>
      <c r="AF6" s="12" t="s">
        <v>18</v>
      </c>
      <c r="AG6" s="12" t="s">
        <v>19</v>
      </c>
      <c r="AH6" s="216" t="s">
        <v>69</v>
      </c>
    </row>
    <row r="7" spans="1:34" x14ac:dyDescent="0.25">
      <c r="A7" s="217">
        <v>2021</v>
      </c>
      <c r="B7" s="130">
        <f>[1]Recap!$H14</f>
        <v>462.97974451982009</v>
      </c>
      <c r="C7" s="130">
        <f>[2]Recap!$H14</f>
        <v>601.44417563785896</v>
      </c>
      <c r="D7" s="130">
        <f>[3]Recap!$H14</f>
        <v>317.16402703247957</v>
      </c>
      <c r="E7" s="130">
        <f>[4]Recap!$H14</f>
        <v>407.63927244838794</v>
      </c>
      <c r="F7" s="130">
        <f>[5]Recap!$H14</f>
        <v>644.28772157133847</v>
      </c>
      <c r="G7" s="130">
        <f>[6]Recap!$H14</f>
        <v>715.47833690747836</v>
      </c>
      <c r="H7" s="130">
        <f>[7]Recap!$H14</f>
        <v>635.44106915727116</v>
      </c>
      <c r="I7" s="130"/>
      <c r="J7" s="130"/>
      <c r="K7" s="130"/>
      <c r="L7" s="130"/>
      <c r="M7" s="130"/>
      <c r="N7" s="130"/>
      <c r="O7" s="130"/>
      <c r="P7" s="131"/>
      <c r="Q7" s="218">
        <f>SUM(B7:P7)</f>
        <v>3784.4343472746345</v>
      </c>
      <c r="R7" s="219">
        <v>2021</v>
      </c>
      <c r="S7" s="220">
        <f>+'Gain action'!B7*S$3</f>
        <v>109.86509337455331</v>
      </c>
      <c r="T7" s="220">
        <f>+'Gain action'!C7*T$3</f>
        <v>142.72270287886394</v>
      </c>
      <c r="U7" s="220">
        <f>+'Gain action'!D7*U$3</f>
        <v>75.263023614807409</v>
      </c>
      <c r="V7" s="220">
        <f>+'Gain action'!E7*V$3</f>
        <v>96.732799352002459</v>
      </c>
      <c r="W7" s="220">
        <f>+'Gain action'!F7*W$3</f>
        <v>152.88947632887863</v>
      </c>
      <c r="X7" s="220">
        <f>+'Gain action'!G7*X$3</f>
        <v>169.78300934814462</v>
      </c>
      <c r="Y7" s="220">
        <f>+'Gain action'!H7*Y$3</f>
        <v>150.79016571102045</v>
      </c>
      <c r="Z7" s="220"/>
      <c r="AA7" s="220"/>
      <c r="AB7" s="220"/>
      <c r="AC7" s="220"/>
      <c r="AD7" s="220"/>
      <c r="AE7" s="220"/>
      <c r="AF7" s="220"/>
      <c r="AG7" s="221"/>
      <c r="AH7" s="222">
        <f>SUM(S7:AG7)</f>
        <v>898.0462706082709</v>
      </c>
    </row>
    <row r="8" spans="1:34" s="223" customFormat="1" ht="12.75" x14ac:dyDescent="0.2">
      <c r="A8" s="217">
        <v>2022</v>
      </c>
      <c r="B8" s="130">
        <f>[1]Recap!$H15</f>
        <v>403.54404421488664</v>
      </c>
      <c r="C8" s="130">
        <f>[2]Recap!$H15</f>
        <v>541.48431288720531</v>
      </c>
      <c r="D8" s="130">
        <f>[3]Recap!$H15</f>
        <v>310.77354477397688</v>
      </c>
      <c r="E8" s="130">
        <f>[4]Recap!$H15</f>
        <v>386.73051037232443</v>
      </c>
      <c r="F8" s="130">
        <f>[5]Recap!$H15</f>
        <v>495.28300504935737</v>
      </c>
      <c r="G8" s="130">
        <f>[6]Recap!$H15</f>
        <v>691.52360911592677</v>
      </c>
      <c r="H8" s="130">
        <f>[7]Recap!$H15</f>
        <v>374.03532286829932</v>
      </c>
      <c r="I8" s="130">
        <f>[8]Recap!$H14</f>
        <v>633.22426340792936</v>
      </c>
      <c r="J8" s="130">
        <f>[9]Recap!$H14</f>
        <v>610.82984145338833</v>
      </c>
      <c r="K8" s="130">
        <f>[10]Recap!$H14</f>
        <v>894.20117184713649</v>
      </c>
      <c r="L8" s="130">
        <f>[11]Recap!$H13</f>
        <v>1229.0315199032634</v>
      </c>
      <c r="M8" s="130">
        <f>[12]Recap!$H13</f>
        <v>1504.932300983422</v>
      </c>
      <c r="N8" s="130"/>
      <c r="O8" s="130"/>
      <c r="P8" s="134"/>
      <c r="Q8" s="218">
        <f t="shared" ref="Q8:Q13" si="0">SUM(B8:P8)</f>
        <v>8075.5934468771175</v>
      </c>
      <c r="R8" s="219">
        <v>2022</v>
      </c>
      <c r="S8" s="220">
        <f>+'Gain action'!B8*S$3</f>
        <v>95.761001692192607</v>
      </c>
      <c r="T8" s="220">
        <f>+'Gain action'!C8*T$3</f>
        <v>128.49422744813381</v>
      </c>
      <c r="U8" s="220">
        <f>+'Gain action'!D8*U$3</f>
        <v>73.746562174864721</v>
      </c>
      <c r="V8" s="220">
        <f>+'Gain action'!E8*V$3</f>
        <v>91.771150111352597</v>
      </c>
      <c r="W8" s="220">
        <f>+'Gain action'!F8*W$3</f>
        <v>117.53065709821252</v>
      </c>
      <c r="X8" s="220">
        <f>+'Gain action'!G8*X$3</f>
        <v>164.09855244320943</v>
      </c>
      <c r="Y8" s="220">
        <f>+'Gain action'!H8*Y$3</f>
        <v>88.758582116647432</v>
      </c>
      <c r="Z8" s="220">
        <f>+'Gain action'!I8*Z$3</f>
        <v>124.30192290697653</v>
      </c>
      <c r="AA8" s="220">
        <f>+'Gain action'!J8*AA$3</f>
        <v>119.90589787730013</v>
      </c>
      <c r="AB8" s="220">
        <f>+'Gain action'!K8*AB$3</f>
        <v>175.53169003359289</v>
      </c>
      <c r="AC8" s="220">
        <f>+'Gain action'!L8*AC$3</f>
        <v>148.3441044523239</v>
      </c>
      <c r="AD8" s="220">
        <f>+'Gain action'!M8*AD$3</f>
        <v>181.64532872869904</v>
      </c>
      <c r="AE8" s="220"/>
      <c r="AF8" s="220"/>
      <c r="AG8" s="221"/>
      <c r="AH8" s="222">
        <f t="shared" ref="AH8:AH13" si="1">SUM(S8:AG8)</f>
        <v>1509.8896770835054</v>
      </c>
    </row>
    <row r="9" spans="1:34" s="234" customFormat="1" ht="12.75" x14ac:dyDescent="0.2">
      <c r="A9" s="224">
        <v>2023</v>
      </c>
      <c r="B9" s="225">
        <f>[1]Recap!$H16</f>
        <v>507.11078156996098</v>
      </c>
      <c r="C9" s="226">
        <f>[2]Recap!$H16</f>
        <v>901.01996767533251</v>
      </c>
      <c r="D9" s="226">
        <f>[3]Recap!$H16</f>
        <v>499.79859792031232</v>
      </c>
      <c r="E9" s="226">
        <f>[4]Recap!$H16</f>
        <v>509.8149023259366</v>
      </c>
      <c r="F9" s="226">
        <f>[5]Recap!$H16</f>
        <v>837.12748743650934</v>
      </c>
      <c r="G9" s="226">
        <f>[6]Recap!$H16</f>
        <v>867.02300137865814</v>
      </c>
      <c r="H9" s="226">
        <f>[7]Recap!$H16</f>
        <v>550.62414804972082</v>
      </c>
      <c r="I9" s="226">
        <f>[8]Recap!$H15</f>
        <v>323.1504031080409</v>
      </c>
      <c r="J9" s="226">
        <f>[9]Recap!$H15</f>
        <v>387.53391521775529</v>
      </c>
      <c r="K9" s="226">
        <f>[10]Recap!$H15</f>
        <v>464.73861894688241</v>
      </c>
      <c r="L9" s="226">
        <f>[11]Recap!$H14</f>
        <v>1733.115515819961</v>
      </c>
      <c r="M9" s="226">
        <f>[12]Recap!$H14</f>
        <v>914.45179170933818</v>
      </c>
      <c r="N9" s="226">
        <f>[13]Recap!$H14</f>
        <v>1507.9977020141814</v>
      </c>
      <c r="O9" s="226"/>
      <c r="P9" s="227"/>
      <c r="Q9" s="228">
        <f t="shared" si="0"/>
        <v>10003.506833172591</v>
      </c>
      <c r="R9" s="229">
        <v>2023</v>
      </c>
      <c r="S9" s="230">
        <f>+'Gain action'!B9*S$3</f>
        <v>120.33738846655174</v>
      </c>
      <c r="T9" s="231">
        <f>+'Gain action'!C9*T$3</f>
        <v>213.81203832935643</v>
      </c>
      <c r="U9" s="231">
        <f>+'Gain action'!D9*U$3</f>
        <v>118.60220728649011</v>
      </c>
      <c r="V9" s="231">
        <f>+'Gain action'!E9*V$3</f>
        <v>120.97907632194476</v>
      </c>
      <c r="W9" s="231">
        <f>+'Gain action'!F9*W$3</f>
        <v>198.65035276868369</v>
      </c>
      <c r="X9" s="231">
        <f>+'Gain action'!G9*X$3</f>
        <v>205.74455822715558</v>
      </c>
      <c r="Y9" s="231">
        <f>+'Gain action'!H9*Y$3</f>
        <v>130.66311033219876</v>
      </c>
      <c r="Z9" s="231">
        <f>+'Gain action'!I9*Z$3</f>
        <v>63.434424130108432</v>
      </c>
      <c r="AA9" s="231">
        <f>+'Gain action'!J9*AA$3</f>
        <v>76.072907557245358</v>
      </c>
      <c r="AB9" s="231">
        <f>+'Gain action'!K9*AB$3</f>
        <v>91.228190899273017</v>
      </c>
      <c r="AC9" s="231">
        <f>+'Gain action'!L9*AC$3</f>
        <v>209.18704275946931</v>
      </c>
      <c r="AD9" s="231">
        <f>+'Gain action'!M9*AD$3</f>
        <v>110.37433125931712</v>
      </c>
      <c r="AE9" s="231">
        <f>+'Gain action'!N9*AE$3</f>
        <v>182.01532263311171</v>
      </c>
      <c r="AF9" s="231"/>
      <c r="AG9" s="232"/>
      <c r="AH9" s="233">
        <f t="shared" si="1"/>
        <v>1841.1009509709061</v>
      </c>
    </row>
    <row r="10" spans="1:34" s="234" customFormat="1" ht="12.75" x14ac:dyDescent="0.2">
      <c r="A10" s="235">
        <v>2024</v>
      </c>
      <c r="B10" s="236">
        <f>[1]Recap!$H17</f>
        <v>370.7723840124138</v>
      </c>
      <c r="C10" s="236">
        <f>[2]Recap!$H17</f>
        <v>770.01662357932946</v>
      </c>
      <c r="D10" s="236">
        <f>[3]Recap!$H17</f>
        <v>420.04506248708788</v>
      </c>
      <c r="E10" s="236">
        <f>[4]Recap!$H17</f>
        <v>422.26942384406073</v>
      </c>
      <c r="F10" s="236">
        <f>[5]Recap!$H17</f>
        <v>634.25868243861294</v>
      </c>
      <c r="G10" s="236">
        <f>[6]Recap!$H17</f>
        <v>680.21769114161123</v>
      </c>
      <c r="H10" s="236">
        <f>[7]Recap!$H17</f>
        <v>190.82448388793568</v>
      </c>
      <c r="I10" s="236">
        <f>[8]Recap!$H16</f>
        <v>129.5170918236015</v>
      </c>
      <c r="J10" s="236">
        <f>[9]Recap!$H16</f>
        <v>222.18923803401719</v>
      </c>
      <c r="K10" s="236">
        <f>[10]Recap!$H16</f>
        <v>195.30030859490523</v>
      </c>
      <c r="L10" s="236">
        <f>[11]Recap!$H15</f>
        <v>1374.810441594678</v>
      </c>
      <c r="M10" s="236">
        <f>[12]Recap!$H15</f>
        <v>446.48800055615652</v>
      </c>
      <c r="N10" s="236">
        <f>[13]Recap!$H15</f>
        <v>1344.7336435001926</v>
      </c>
      <c r="O10" s="236">
        <f>[14]Recap!$H13</f>
        <v>1149.4706846230049</v>
      </c>
      <c r="P10" s="237">
        <f>[15]Recap!$H13</f>
        <v>244.71492065880142</v>
      </c>
      <c r="Q10" s="238">
        <f t="shared" si="0"/>
        <v>8595.62868077641</v>
      </c>
      <c r="R10" s="239">
        <v>2024</v>
      </c>
      <c r="S10" s="240">
        <f>+'Gain action'!B10*S$3</f>
        <v>87.984286726145797</v>
      </c>
      <c r="T10" s="240">
        <f>+'Gain action'!C10*T$3</f>
        <v>182.72494477537489</v>
      </c>
      <c r="U10" s="240">
        <f>+'Gain action'!D10*U$3</f>
        <v>99.676693328185962</v>
      </c>
      <c r="V10" s="240">
        <f>+'Gain action'!E10*V$3</f>
        <v>100.20453427819561</v>
      </c>
      <c r="W10" s="240">
        <f>+'Gain action'!F10*W$3</f>
        <v>150.50958534268287</v>
      </c>
      <c r="X10" s="240">
        <f>+'Gain action'!G10*X$3</f>
        <v>161.41565810790436</v>
      </c>
      <c r="Y10" s="240">
        <f>+'Gain action'!H10*Y$3</f>
        <v>45.282650026607143</v>
      </c>
      <c r="Z10" s="240">
        <f>+'Gain action'!I10*Z$3</f>
        <v>25.424205124972975</v>
      </c>
      <c r="AA10" s="240">
        <f>+'Gain action'!J10*AA$3</f>
        <v>43.615747426077576</v>
      </c>
      <c r="AB10" s="240">
        <f>+'Gain action'!K10*AB$3</f>
        <v>38.337450577179901</v>
      </c>
      <c r="AC10" s="240">
        <f>+'Gain action'!L10*AC$3</f>
        <v>165.93962030047763</v>
      </c>
      <c r="AD10" s="240">
        <f>+'Gain action'!M10*AD$3</f>
        <v>53.89110166712809</v>
      </c>
      <c r="AE10" s="240">
        <f>+'Gain action'!N10*AE$3</f>
        <v>162.30935077047323</v>
      </c>
      <c r="AF10" s="240">
        <f>+'Gain action'!O10*AF$3</f>
        <v>130.46492270471106</v>
      </c>
      <c r="AG10" s="241">
        <f>+'Gain action'!P10*AG$3</f>
        <v>37.221139432203699</v>
      </c>
      <c r="AH10" s="242">
        <f t="shared" si="1"/>
        <v>1485.001890588321</v>
      </c>
    </row>
    <row r="11" spans="1:34" s="234" customFormat="1" ht="12.75" x14ac:dyDescent="0.2">
      <c r="A11" s="235">
        <v>2025</v>
      </c>
      <c r="B11" s="236">
        <f>[1]Recap!$H18</f>
        <v>478.58535324315153</v>
      </c>
      <c r="C11" s="236">
        <f>[2]Recap!$H18</f>
        <v>698.4038594970541</v>
      </c>
      <c r="D11" s="236">
        <f>[3]Recap!$H18</f>
        <v>430.72169124073702</v>
      </c>
      <c r="E11" s="236">
        <f>[4]Recap!$H18</f>
        <v>493.87653993762865</v>
      </c>
      <c r="F11" s="236">
        <f>[5]Recap!$H18</f>
        <v>779.6025779412239</v>
      </c>
      <c r="G11" s="236">
        <f>[6]Recap!$H18</f>
        <v>831.878703259492</v>
      </c>
      <c r="H11" s="236">
        <f>[7]Recap!$H18</f>
        <v>825.78179150886706</v>
      </c>
      <c r="I11" s="236">
        <f>[8]Recap!$H17</f>
        <v>428.70205468710157</v>
      </c>
      <c r="J11" s="236">
        <f>[9]Recap!$H17</f>
        <v>481.07328275251245</v>
      </c>
      <c r="K11" s="236">
        <f>[10]Recap!$H17</f>
        <v>531.90960401173379</v>
      </c>
      <c r="L11" s="236">
        <f>[11]Recap!$H16</f>
        <v>1820.1966817857385</v>
      </c>
      <c r="M11" s="236">
        <f>[12]Recap!$H16</f>
        <v>1146.8140165226027</v>
      </c>
      <c r="N11" s="236">
        <f>[13]Recap!$H16</f>
        <v>907.34584810332569</v>
      </c>
      <c r="O11" s="236">
        <f>[14]Recap!$H14</f>
        <v>1515.3738438316245</v>
      </c>
      <c r="P11" s="237">
        <f>[15]Recap!$H14</f>
        <v>366.88569375122643</v>
      </c>
      <c r="Q11" s="238">
        <f t="shared" si="0"/>
        <v>11737.15154207402</v>
      </c>
      <c r="R11" s="239">
        <v>2025</v>
      </c>
      <c r="S11" s="240">
        <f>+'Gain action'!B11*S$3</f>
        <v>113.56830432459986</v>
      </c>
      <c r="T11" s="240">
        <f>+'Gain action'!C11*T$3</f>
        <v>165.73123585865093</v>
      </c>
      <c r="U11" s="240">
        <f>+'Gain action'!D11*U$3</f>
        <v>102.2102573314269</v>
      </c>
      <c r="V11" s="240">
        <f>+'Gain action'!E11*V$3</f>
        <v>117.19690292719929</v>
      </c>
      <c r="W11" s="240">
        <f>+'Gain action'!F11*W$3</f>
        <v>184.99969174545245</v>
      </c>
      <c r="X11" s="240">
        <f>+'Gain action'!G11*X$3</f>
        <v>197.40481628347746</v>
      </c>
      <c r="Y11" s="240">
        <f>+'Gain action'!H11*Y$3</f>
        <v>195.95801912505416</v>
      </c>
      <c r="Z11" s="240">
        <f>+'Gain action'!I11*Z$3</f>
        <v>84.15421333507804</v>
      </c>
      <c r="AA11" s="240">
        <f>+'Gain action'!J11*AA$3</f>
        <v>94.434685404318202</v>
      </c>
      <c r="AB11" s="240">
        <f>+'Gain action'!K11*AB$3</f>
        <v>104.41385526750335</v>
      </c>
      <c r="AC11" s="240">
        <f>+'Gain action'!L11*AC$3</f>
        <v>219.69773949153864</v>
      </c>
      <c r="AD11" s="240">
        <f>+'Gain action'!M11*AD$3</f>
        <v>138.42045179427816</v>
      </c>
      <c r="AE11" s="240">
        <f>+'Gain action'!N11*AE$3</f>
        <v>109.51664386607142</v>
      </c>
      <c r="AF11" s="240">
        <f>+'Gain action'!O11*AF$3</f>
        <v>171.99493127488938</v>
      </c>
      <c r="AG11" s="241">
        <f>+'Gain action'!P11*AG$3</f>
        <v>55.803314019561547</v>
      </c>
      <c r="AH11" s="242">
        <f t="shared" si="1"/>
        <v>2055.5050620490997</v>
      </c>
    </row>
    <row r="12" spans="1:34" s="234" customFormat="1" ht="12.75" x14ac:dyDescent="0.2">
      <c r="A12" s="235">
        <v>2026</v>
      </c>
      <c r="B12" s="236">
        <f>[1]Recap!$H19</f>
        <v>347.91939891767822</v>
      </c>
      <c r="C12" s="236">
        <f>[2]Recap!$H19</f>
        <v>518.13282903723064</v>
      </c>
      <c r="D12" s="236">
        <f>[3]Recap!$H19</f>
        <v>332.52724620859294</v>
      </c>
      <c r="E12" s="236">
        <f>[4]Recap!$H19</f>
        <v>393.69132976295896</v>
      </c>
      <c r="F12" s="236">
        <f>[5]Recap!$H19</f>
        <v>552.54126076551051</v>
      </c>
      <c r="G12" s="236">
        <f>[6]Recap!$H19</f>
        <v>648.82151509809466</v>
      </c>
      <c r="H12" s="236">
        <f>[7]Recap!$H19</f>
        <v>524.8616702460572</v>
      </c>
      <c r="I12" s="236">
        <f>[8]Recap!$H18</f>
        <v>365.80316152224435</v>
      </c>
      <c r="J12" s="236">
        <f>[9]Recap!$H18</f>
        <v>416.43456521431824</v>
      </c>
      <c r="K12" s="236">
        <f>[10]Recap!$H18</f>
        <v>455.90800180145675</v>
      </c>
      <c r="L12" s="236">
        <f>[11]Recap!$H17</f>
        <v>1524.6921702657046</v>
      </c>
      <c r="M12" s="236">
        <f>[12]Recap!$H17</f>
        <v>923.17333830282996</v>
      </c>
      <c r="N12" s="236">
        <f>[13]Recap!$H17</f>
        <v>587.02994798027567</v>
      </c>
      <c r="O12" s="236">
        <f>[14]Recap!$H15</f>
        <v>1277.3007847480155</v>
      </c>
      <c r="P12" s="237">
        <f>[15]Recap!$H15</f>
        <v>309.78825983843274</v>
      </c>
      <c r="Q12" s="238">
        <f t="shared" si="0"/>
        <v>9178.6254797094007</v>
      </c>
      <c r="R12" s="239">
        <v>2026</v>
      </c>
      <c r="S12" s="240">
        <f>+'Gain action'!B12*S$3</f>
        <v>82.561273363165043</v>
      </c>
      <c r="T12" s="240">
        <f>+'Gain action'!C12*T$3</f>
        <v>122.95292033053484</v>
      </c>
      <c r="U12" s="240">
        <f>+'Gain action'!D12*U$3</f>
        <v>78.908715525299115</v>
      </c>
      <c r="V12" s="240">
        <f>+'Gain action'!E12*V$3</f>
        <v>93.422952552750161</v>
      </c>
      <c r="W12" s="240">
        <f>+'Gain action'!F12*W$3</f>
        <v>131.11804117965565</v>
      </c>
      <c r="X12" s="240">
        <f>+'Gain action'!G12*X$3</f>
        <v>153.96534553277786</v>
      </c>
      <c r="Y12" s="240">
        <f>+'Gain action'!H12*Y$3</f>
        <v>124.54967434938938</v>
      </c>
      <c r="Z12" s="240">
        <f>+'Gain action'!I12*Z$3</f>
        <v>71.807160606816566</v>
      </c>
      <c r="AA12" s="240">
        <f>+'Gain action'!J12*AA$3</f>
        <v>81.746105151570674</v>
      </c>
      <c r="AB12" s="240">
        <f>+'Gain action'!K12*AB$3</f>
        <v>89.494740753625962</v>
      </c>
      <c r="AC12" s="240">
        <f>+'Gain action'!L12*AC$3</f>
        <v>184.03034495107056</v>
      </c>
      <c r="AD12" s="240">
        <f>+'Gain action'!M12*AD$3</f>
        <v>111.42702193315158</v>
      </c>
      <c r="AE12" s="240">
        <f>+'Gain action'!N12*AE$3</f>
        <v>70.854514721219275</v>
      </c>
      <c r="AF12" s="240">
        <f>+'Gain action'!O12*AF$3</f>
        <v>144.97363906889976</v>
      </c>
      <c r="AG12" s="241">
        <f>+'Gain action'!P12*AG$3</f>
        <v>47.118794321425625</v>
      </c>
      <c r="AH12" s="242">
        <f t="shared" si="1"/>
        <v>1588.9312443413517</v>
      </c>
    </row>
    <row r="13" spans="1:34" s="234" customFormat="1" ht="12.75" x14ac:dyDescent="0.2">
      <c r="A13" s="235">
        <v>2027</v>
      </c>
      <c r="B13" s="142">
        <f>[1]Recap!$H20</f>
        <v>464.24556491959504</v>
      </c>
      <c r="C13" s="142">
        <f>[2]Recap!$H20</f>
        <v>638.24946270922146</v>
      </c>
      <c r="D13" s="142">
        <f>[3]Recap!$H20</f>
        <v>407.54667147753707</v>
      </c>
      <c r="E13" s="142">
        <f>[4]Recap!$H20</f>
        <v>481.46196707522375</v>
      </c>
      <c r="F13" s="142">
        <f>[5]Recap!$H20</f>
        <v>740.15203549580713</v>
      </c>
      <c r="G13" s="142">
        <f>[6]Recap!$H20</f>
        <v>813.14494515155161</v>
      </c>
      <c r="H13" s="142">
        <f>[7]Recap!$H20</f>
        <v>832.33323924309138</v>
      </c>
      <c r="I13" s="142">
        <f>[8]Recap!$H19</f>
        <v>463.31533831056186</v>
      </c>
      <c r="J13" s="142">
        <f>[9]Recap!$H19</f>
        <v>511.45098183573771</v>
      </c>
      <c r="K13" s="142">
        <f>[10]Recap!$H19</f>
        <v>574.00614711844673</v>
      </c>
      <c r="L13" s="142">
        <f>[11]Recap!$H18</f>
        <v>1831.6126448234966</v>
      </c>
      <c r="M13" s="142">
        <f>[12]Recap!$H18</f>
        <v>1216.9603815808719</v>
      </c>
      <c r="N13" s="142">
        <f>[13]Recap!$H18</f>
        <v>763.04919883585467</v>
      </c>
      <c r="O13" s="236">
        <f>[14]Recap!$H16</f>
        <v>1527.3610307447289</v>
      </c>
      <c r="P13" s="237">
        <f>[15]Recap!$H16</f>
        <v>375.30888615028033</v>
      </c>
      <c r="Q13" s="243">
        <f t="shared" si="0"/>
        <v>11640.198495472006</v>
      </c>
      <c r="R13" s="239">
        <v>2027</v>
      </c>
      <c r="S13" s="244">
        <f>+'Gain action'!B13*S$3</f>
        <v>110.16547255541991</v>
      </c>
      <c r="T13" s="244">
        <f>+'Gain action'!C13*T$3</f>
        <v>151.45659750089825</v>
      </c>
      <c r="U13" s="244">
        <f>+'Gain action'!D13*U$3</f>
        <v>96.710825141619551</v>
      </c>
      <c r="V13" s="244">
        <f>+'Gain action'!E13*V$3</f>
        <v>114.25092478695061</v>
      </c>
      <c r="W13" s="244">
        <f>+'Gain action'!F13*W$3</f>
        <v>175.63807802315503</v>
      </c>
      <c r="X13" s="244">
        <f>+'Gain action'!G13*X$3</f>
        <v>192.95929548446321</v>
      </c>
      <c r="Y13" s="244">
        <f>+'Gain action'!H13*Y$3</f>
        <v>197.51267767238559</v>
      </c>
      <c r="Z13" s="244">
        <f>+'Gain action'!I13*Z$3</f>
        <v>90.948800910363289</v>
      </c>
      <c r="AA13" s="244">
        <f>+'Gain action'!J13*AA$3</f>
        <v>100.39782773435532</v>
      </c>
      <c r="AB13" s="244">
        <f>+'Gain action'!K13*AB$3</f>
        <v>112.67740667935109</v>
      </c>
      <c r="AC13" s="244">
        <f>+'Gain action'!L13*AC$3</f>
        <v>221.07564623019604</v>
      </c>
      <c r="AD13" s="244">
        <f>+'Gain action'!M13*AD$3</f>
        <v>146.88711805681123</v>
      </c>
      <c r="AE13" s="244">
        <f>+'Gain action'!N13*AE$3</f>
        <v>92.100038299487665</v>
      </c>
      <c r="AF13" s="244">
        <f>+'Gain action'!O13*AF$3</f>
        <v>173.35547698952672</v>
      </c>
      <c r="AG13" s="245">
        <f>+'Gain action'!P13*AG$3</f>
        <v>57.084481583457645</v>
      </c>
      <c r="AH13" s="246">
        <f t="shared" si="1"/>
        <v>2033.2206676484411</v>
      </c>
    </row>
    <row r="14" spans="1:34" x14ac:dyDescent="0.25">
      <c r="A14" s="235">
        <v>2028</v>
      </c>
      <c r="I14" s="142">
        <f>[8]Recap!$H20</f>
        <v>356.00670789473099</v>
      </c>
      <c r="J14" s="142">
        <f>[9]Recap!$H20</f>
        <v>409.87511420955752</v>
      </c>
      <c r="K14" s="142">
        <f>[10]Recap!$H20</f>
        <v>449.64251679762162</v>
      </c>
      <c r="L14" s="142">
        <f>[11]Recap!$H19</f>
        <v>1508.1429620257306</v>
      </c>
      <c r="M14" s="142">
        <f>[12]Recap!$H19</f>
        <v>912.4748230770565</v>
      </c>
      <c r="N14" s="142">
        <f>[13]Recap!$H19</f>
        <v>583.26409144729496</v>
      </c>
      <c r="O14" s="236">
        <f>[14]Recap!$H17</f>
        <v>1264.3406150482592</v>
      </c>
      <c r="P14" s="237">
        <f>[15]Recap!$H17</f>
        <v>306.44444852827161</v>
      </c>
      <c r="R14" s="239">
        <v>2028</v>
      </c>
    </row>
    <row r="15" spans="1:34" s="234" customFormat="1" x14ac:dyDescent="0.2">
      <c r="A15" s="235">
        <v>2029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142">
        <f>[11]Recap!$H20</f>
        <v>1812.3603295749128</v>
      </c>
      <c r="M15" s="142">
        <f>[12]Recap!$H20</f>
        <v>1203.0174571145035</v>
      </c>
      <c r="N15" s="142">
        <f>[13]Recap!$H20</f>
        <v>758.33122699050034</v>
      </c>
      <c r="O15" s="236">
        <f>[14]Recap!$H18</f>
        <v>1512.5617357789906</v>
      </c>
      <c r="P15" s="237">
        <f>[15]Recap!$H18</f>
        <v>371.57319401519692</v>
      </c>
      <c r="Q15" s="243"/>
      <c r="R15" s="239">
        <v>2029</v>
      </c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</row>
    <row r="16" spans="1:34" s="234" customFormat="1" x14ac:dyDescent="0.2">
      <c r="A16" s="235">
        <v>2030</v>
      </c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36">
        <f>[14]Recap!$H19</f>
        <v>1250.7631218032213</v>
      </c>
      <c r="P16" s="237">
        <f>[15]Recap!$H19</f>
        <v>302.92015190278295</v>
      </c>
      <c r="Q16" s="243"/>
      <c r="R16" s="239">
        <v>2030</v>
      </c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</row>
    <row r="17" spans="1:34" s="234" customFormat="1" x14ac:dyDescent="0.2">
      <c r="A17" s="235">
        <v>2031</v>
      </c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36">
        <f>[14]Recap!$H20</f>
        <v>1496.0129085633328</v>
      </c>
      <c r="P17" s="237">
        <f>[15]Recap!$H20</f>
        <v>367.22724318080225</v>
      </c>
      <c r="Q17" s="243"/>
      <c r="R17" s="239">
        <v>2031</v>
      </c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</row>
    <row r="18" spans="1:34" s="234" customFormat="1" x14ac:dyDescent="0.2">
      <c r="A18" s="249" t="s">
        <v>57</v>
      </c>
      <c r="B18" s="149">
        <f t="shared" ref="B18:H18" si="2">SUM(B8:B13)</f>
        <v>2572.177526877686</v>
      </c>
      <c r="C18" s="149">
        <f t="shared" si="2"/>
        <v>4067.307055385374</v>
      </c>
      <c r="D18" s="149">
        <f t="shared" si="2"/>
        <v>2401.4128141082438</v>
      </c>
      <c r="E18" s="149">
        <f t="shared" si="2"/>
        <v>2687.8446733181327</v>
      </c>
      <c r="F18" s="149">
        <f t="shared" si="2"/>
        <v>4038.9650491270208</v>
      </c>
      <c r="G18" s="149">
        <f t="shared" si="2"/>
        <v>4532.6094651453341</v>
      </c>
      <c r="H18" s="149">
        <f t="shared" si="2"/>
        <v>3298.4606558039713</v>
      </c>
      <c r="I18" s="149">
        <f t="shared" ref="I18:P18" si="3">SUM(I10:I13)</f>
        <v>1387.3376463435093</v>
      </c>
      <c r="J18" s="149">
        <f t="shared" si="3"/>
        <v>1631.1480678365856</v>
      </c>
      <c r="K18" s="149">
        <f t="shared" si="3"/>
        <v>1757.1240615265424</v>
      </c>
      <c r="L18" s="149">
        <f t="shared" si="3"/>
        <v>6551.3119384696174</v>
      </c>
      <c r="M18" s="149">
        <f t="shared" si="3"/>
        <v>3733.4357369624609</v>
      </c>
      <c r="N18" s="149">
        <f t="shared" si="3"/>
        <v>3602.1586384196489</v>
      </c>
      <c r="O18" s="149">
        <f t="shared" si="3"/>
        <v>5469.5063439473743</v>
      </c>
      <c r="P18" s="149">
        <f t="shared" si="3"/>
        <v>1296.6977603987409</v>
      </c>
      <c r="Q18" s="243">
        <f>SUM(B18:P18)</f>
        <v>49027.497433670236</v>
      </c>
      <c r="R18" s="250" t="s">
        <v>57</v>
      </c>
      <c r="S18" s="251">
        <f t="shared" ref="S18:Y18" si="4">SUM(S8:S13)</f>
        <v>610.37772712807498</v>
      </c>
      <c r="T18" s="251">
        <f t="shared" si="4"/>
        <v>965.17196424294923</v>
      </c>
      <c r="U18" s="251">
        <f t="shared" si="4"/>
        <v>569.85526078788632</v>
      </c>
      <c r="V18" s="251">
        <f t="shared" si="4"/>
        <v>637.82554097839306</v>
      </c>
      <c r="W18" s="251">
        <f t="shared" si="4"/>
        <v>958.44640615784215</v>
      </c>
      <c r="X18" s="251">
        <f t="shared" si="4"/>
        <v>1075.5882260789879</v>
      </c>
      <c r="Y18" s="251">
        <f t="shared" si="4"/>
        <v>782.72471362228259</v>
      </c>
      <c r="Z18" s="251">
        <f>SUM(Z9:Z13)</f>
        <v>335.76880410733929</v>
      </c>
      <c r="AA18" s="251">
        <f>SUM(AA9:AA13)</f>
        <v>396.26727327356713</v>
      </c>
      <c r="AB18" s="251">
        <f>SUM(AB9:AB13)</f>
        <v>436.15164417693336</v>
      </c>
      <c r="AC18" s="251">
        <f>SUM(AC8:AC13)</f>
        <v>1148.274498185076</v>
      </c>
      <c r="AD18" s="251">
        <f>SUM(AD8:AD13)</f>
        <v>742.64535343938519</v>
      </c>
      <c r="AE18" s="251">
        <f>SUM(AE8:AE13)</f>
        <v>616.79587029036327</v>
      </c>
      <c r="AF18" s="251">
        <f>SUM(AF8:AF13)</f>
        <v>620.78897003802695</v>
      </c>
      <c r="AG18" s="251">
        <f>SUM(AG8:AG13)</f>
        <v>197.22772935664852</v>
      </c>
      <c r="AH18" s="251">
        <f>SUM(S18:AG18)</f>
        <v>10093.909981863755</v>
      </c>
    </row>
    <row r="19" spans="1:34" s="234" customFormat="1" x14ac:dyDescent="0.25">
      <c r="A19" s="25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43"/>
      <c r="R19" s="253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212"/>
    </row>
    <row r="20" spans="1:34" s="256" customFormat="1" ht="15.75" x14ac:dyDescent="0.25">
      <c r="A20" s="254" t="s">
        <v>70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243"/>
      <c r="R20" s="255" t="s">
        <v>70</v>
      </c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2"/>
    </row>
    <row r="21" spans="1:34" ht="33.75" x14ac:dyDescent="0.25">
      <c r="A21" s="88" t="s">
        <v>4</v>
      </c>
      <c r="B21" s="12" t="s">
        <v>5</v>
      </c>
      <c r="C21" s="12" t="s">
        <v>6</v>
      </c>
      <c r="D21" s="12" t="s">
        <v>7</v>
      </c>
      <c r="E21" s="12" t="s">
        <v>8</v>
      </c>
      <c r="F21" s="12" t="s">
        <v>9</v>
      </c>
      <c r="G21" s="12" t="s">
        <v>10</v>
      </c>
      <c r="H21" s="12" t="s">
        <v>11</v>
      </c>
      <c r="I21" s="12" t="s">
        <v>12</v>
      </c>
      <c r="J21" s="12" t="s">
        <v>13</v>
      </c>
      <c r="K21" s="12" t="s">
        <v>14</v>
      </c>
      <c r="L21" s="12" t="s">
        <v>15</v>
      </c>
      <c r="M21" s="12" t="s">
        <v>16</v>
      </c>
      <c r="N21" s="12" t="s">
        <v>17</v>
      </c>
      <c r="O21" s="12" t="s">
        <v>18</v>
      </c>
      <c r="P21" s="12" t="s">
        <v>19</v>
      </c>
      <c r="Q21" s="214" t="s">
        <v>56</v>
      </c>
      <c r="R21" s="215" t="s">
        <v>4</v>
      </c>
      <c r="S21" s="12" t="s">
        <v>5</v>
      </c>
      <c r="T21" s="12" t="s">
        <v>6</v>
      </c>
      <c r="U21" s="12" t="s">
        <v>7</v>
      </c>
      <c r="V21" s="12" t="s">
        <v>8</v>
      </c>
      <c r="W21" s="12" t="s">
        <v>9</v>
      </c>
      <c r="X21" s="12" t="s">
        <v>10</v>
      </c>
      <c r="Y21" s="12" t="s">
        <v>11</v>
      </c>
      <c r="Z21" s="12" t="s">
        <v>12</v>
      </c>
      <c r="AA21" s="12" t="s">
        <v>13</v>
      </c>
      <c r="AB21" s="12" t="s">
        <v>14</v>
      </c>
      <c r="AC21" s="12" t="s">
        <v>15</v>
      </c>
      <c r="AD21" s="12" t="s">
        <v>16</v>
      </c>
      <c r="AE21" s="12" t="s">
        <v>17</v>
      </c>
      <c r="AF21" s="12" t="s">
        <v>18</v>
      </c>
      <c r="AG21" s="12" t="s">
        <v>19</v>
      </c>
      <c r="AH21" s="216" t="s">
        <v>69</v>
      </c>
    </row>
    <row r="22" spans="1:34" x14ac:dyDescent="0.25">
      <c r="A22" s="217">
        <v>2021</v>
      </c>
      <c r="B22" s="152">
        <f>[1]Recap!$I14</f>
        <v>-1.6599989140942988</v>
      </c>
      <c r="C22" s="152">
        <f>[2]Recap!$I14</f>
        <v>-0.76147889062777985</v>
      </c>
      <c r="D22" s="152">
        <f>[3]Recap!$I14</f>
        <v>-6.4182154756231125E-2</v>
      </c>
      <c r="E22" s="152">
        <f>[4]Recap!$I14</f>
        <v>-2.4040267854287145E-2</v>
      </c>
      <c r="F22" s="152">
        <f>[5]Recap!$I14</f>
        <v>83.540651782642328</v>
      </c>
      <c r="G22" s="152">
        <f>[6]Recap!$I14</f>
        <v>-0.29237109502494407</v>
      </c>
      <c r="H22" s="152">
        <f>[7]Recap!$I14</f>
        <v>-4.5560801234965567</v>
      </c>
      <c r="I22" s="152"/>
      <c r="J22" s="152"/>
      <c r="K22" s="152"/>
      <c r="L22" s="152"/>
      <c r="M22" s="152"/>
      <c r="N22" s="152"/>
      <c r="O22" s="152"/>
      <c r="P22" s="153"/>
      <c r="Q22" s="257">
        <f>SUM(B22:P22)</f>
        <v>76.182500336788223</v>
      </c>
      <c r="R22" s="219">
        <v>2021</v>
      </c>
      <c r="S22" s="258">
        <f>+'Gain action'!B22*S$3</f>
        <v>-0.3939177423145771</v>
      </c>
      <c r="T22" s="258">
        <f>+'Gain action'!C22*T$3</f>
        <v>-0.18069894074597218</v>
      </c>
      <c r="U22" s="258">
        <f>+'Gain action'!D22*U$3</f>
        <v>-1.5230425323653646E-2</v>
      </c>
      <c r="V22" s="258">
        <f>+'Gain action'!E22*V$3</f>
        <v>-5.7047555618223401E-3</v>
      </c>
      <c r="W22" s="258">
        <f>+'Gain action'!F22*W$3</f>
        <v>19.824196668021024</v>
      </c>
      <c r="X22" s="258">
        <f>+'Gain action'!G22*X$3</f>
        <v>-6.9379660849419225E-2</v>
      </c>
      <c r="Y22" s="258">
        <f>+'Gain action'!H22*Y$3</f>
        <v>-1.0811578133057329</v>
      </c>
      <c r="Z22" s="258"/>
      <c r="AA22" s="258"/>
      <c r="AB22" s="258"/>
      <c r="AC22" s="258"/>
      <c r="AD22" s="258"/>
      <c r="AE22" s="258"/>
      <c r="AF22" s="258"/>
      <c r="AG22" s="259"/>
      <c r="AH22" s="260">
        <f>SUM(S22:AG22)</f>
        <v>18.078107329919849</v>
      </c>
    </row>
    <row r="23" spans="1:34" s="223" customFormat="1" ht="12.75" x14ac:dyDescent="0.2">
      <c r="A23" s="217">
        <v>2022</v>
      </c>
      <c r="B23" s="152">
        <f>[1]Recap!$I15</f>
        <v>-1.9937197098665465</v>
      </c>
      <c r="C23" s="152">
        <f>[2]Recap!$I15</f>
        <v>-1.028148077575409</v>
      </c>
      <c r="D23" s="152">
        <f>[3]Recap!$I15</f>
        <v>-9.003125290007441E-2</v>
      </c>
      <c r="E23" s="152">
        <f>[4]Recap!$I15</f>
        <v>-3.5250962824366794E-2</v>
      </c>
      <c r="F23" s="152">
        <f>[5]Recap!$I15</f>
        <v>64.954744971390653</v>
      </c>
      <c r="G23" s="152">
        <f>[6]Recap!$I15</f>
        <v>-0.38478662776655437</v>
      </c>
      <c r="H23" s="152">
        <f>[7]Recap!$I15</f>
        <v>-4.291747278890341</v>
      </c>
      <c r="I23" s="152">
        <f>[8]Recap!$I14</f>
        <v>0.17860601135433996</v>
      </c>
      <c r="J23" s="152">
        <f>[9]Recap!$I14</f>
        <v>-0.37798961774554662</v>
      </c>
      <c r="K23" s="152">
        <f>[10]Recap!$I14</f>
        <v>-2.816996816921663E-2</v>
      </c>
      <c r="L23" s="152">
        <f>[11]Recap!$I13</f>
        <v>-1.8110199155422779E-2</v>
      </c>
      <c r="M23" s="152">
        <f>[12]Recap!$I13</f>
        <v>-0.19202420549369137</v>
      </c>
      <c r="N23" s="152"/>
      <c r="O23" s="152"/>
      <c r="P23" s="156"/>
      <c r="Q23" s="257">
        <f t="shared" ref="Q23:Q29" si="5">SUM(B23:P23)</f>
        <v>56.693373082357823</v>
      </c>
      <c r="R23" s="219">
        <v>2022</v>
      </c>
      <c r="S23" s="258">
        <f>+'Gain action'!B23*S$3</f>
        <v>-0.4731096871513315</v>
      </c>
      <c r="T23" s="258">
        <f>+'Gain action'!C23*T$3</f>
        <v>-0.24397953880864459</v>
      </c>
      <c r="U23" s="258">
        <f>+'Gain action'!D23*U$3</f>
        <v>-2.1364416313187657E-2</v>
      </c>
      <c r="V23" s="258">
        <f>+'Gain action'!E23*V$3</f>
        <v>-8.3650534782222404E-3</v>
      </c>
      <c r="W23" s="258">
        <f>+'Gain action'!F23*W$3</f>
        <v>15.413760981711002</v>
      </c>
      <c r="X23" s="258">
        <f>+'Gain action'!G23*X$3</f>
        <v>-9.1309866769003351E-2</v>
      </c>
      <c r="Y23" s="258">
        <f>+'Gain action'!H23*Y$3</f>
        <v>-1.0184316292806779</v>
      </c>
      <c r="Z23" s="258">
        <f>+'Gain action'!I23*Z$3</f>
        <v>3.5060360028856936E-2</v>
      </c>
      <c r="AA23" s="258">
        <f>+'Gain action'!J23*AA$3</f>
        <v>-7.4199361963450797E-2</v>
      </c>
      <c r="AB23" s="258">
        <f>+'Gain action'!K23*AB$3</f>
        <v>-5.5297647516172246E-3</v>
      </c>
      <c r="AC23" s="258">
        <f>+'Gain action'!L23*AC$3</f>
        <v>-2.1859010380595296E-3</v>
      </c>
      <c r="AD23" s="258">
        <f>+'Gain action'!M23*AD$3</f>
        <v>-2.3177321603088549E-2</v>
      </c>
      <c r="AE23" s="258"/>
      <c r="AF23" s="258"/>
      <c r="AG23" s="259"/>
      <c r="AH23" s="260">
        <f t="shared" ref="AH23:AH29" si="6">SUM(S23:AG23)</f>
        <v>13.487168800582575</v>
      </c>
    </row>
    <row r="24" spans="1:34" s="234" customFormat="1" ht="12.75" x14ac:dyDescent="0.2">
      <c r="A24" s="224">
        <v>2023</v>
      </c>
      <c r="B24" s="225">
        <f>[1]Recap!$I16</f>
        <v>-2.9719515460187154</v>
      </c>
      <c r="C24" s="226">
        <f>[2]Recap!$I16</f>
        <v>-2.1800991744982809</v>
      </c>
      <c r="D24" s="226">
        <f>[3]Recap!$I16</f>
        <v>-0.18082514003979622</v>
      </c>
      <c r="E24" s="226">
        <f>[4]Recap!$I16</f>
        <v>-6.1513973263664923E-2</v>
      </c>
      <c r="F24" s="226">
        <f>[5]Recap!$I16</f>
        <v>77.254088026220103</v>
      </c>
      <c r="G24" s="226">
        <f>[6]Recap!$I16</f>
        <v>-0.62841110070756478</v>
      </c>
      <c r="H24" s="226">
        <f>[7]Recap!$I16</f>
        <v>-8.8586178629167875</v>
      </c>
      <c r="I24" s="226">
        <f>[8]Recap!$I15</f>
        <v>1.1547476358521536</v>
      </c>
      <c r="J24" s="226">
        <f>[9]Recap!$I15</f>
        <v>-0.34307640673979911</v>
      </c>
      <c r="K24" s="226">
        <f>[10]Recap!$I15</f>
        <v>-2.1386485503012809E-2</v>
      </c>
      <c r="L24" s="226">
        <f>[11]Recap!$I14</f>
        <v>-3.7513822755373072E-2</v>
      </c>
      <c r="M24" s="226">
        <f>[12]Recap!$I14</f>
        <v>-0.18571430585758542</v>
      </c>
      <c r="N24" s="226">
        <f>[13]Recap!$I14</f>
        <v>-2.7721282819606619E-2</v>
      </c>
      <c r="O24" s="226"/>
      <c r="P24" s="227"/>
      <c r="Q24" s="228">
        <f t="shared" si="5"/>
        <v>62.91200456095207</v>
      </c>
      <c r="R24" s="229">
        <v>2023</v>
      </c>
      <c r="S24" s="230">
        <f>+'Gain action'!B24*S$3</f>
        <v>-0.70524410187024122</v>
      </c>
      <c r="T24" s="231">
        <f>+'Gain action'!C24*T$3</f>
        <v>-0.51733753410844208</v>
      </c>
      <c r="U24" s="231">
        <f>+'Gain action'!D24*U$3</f>
        <v>-4.2909805731443644E-2</v>
      </c>
      <c r="V24" s="231">
        <f>+'Gain action'!E24*V$3</f>
        <v>-1.4597265855467686E-2</v>
      </c>
      <c r="W24" s="231">
        <f>+'Gain action'!F24*W$3</f>
        <v>18.332395088622032</v>
      </c>
      <c r="X24" s="231">
        <f>+'Gain action'!G24*X$3</f>
        <v>-0.14912195419790514</v>
      </c>
      <c r="Y24" s="231">
        <f>+'Gain action'!H24*Y$3</f>
        <v>-2.1021500188701538</v>
      </c>
      <c r="Z24" s="231">
        <f>+'Gain action'!I24*Z$3</f>
        <v>0.22667696091777775</v>
      </c>
      <c r="AA24" s="231">
        <f>+'Gain action'!J24*AA$3</f>
        <v>-6.7345898643022567E-2</v>
      </c>
      <c r="AB24" s="231">
        <f>+'Gain action'!K24*AB$3</f>
        <v>-4.1981671042414142E-3</v>
      </c>
      <c r="AC24" s="231">
        <f>+'Gain action'!L24*AC$3</f>
        <v>-4.5279184065735298E-3</v>
      </c>
      <c r="AD24" s="231">
        <f>+'Gain action'!M24*AD$3</f>
        <v>-2.2415716717010561E-2</v>
      </c>
      <c r="AE24" s="231">
        <f>+'Gain action'!N24*AE$3</f>
        <v>-3.3459588363265189E-3</v>
      </c>
      <c r="AF24" s="231"/>
      <c r="AG24" s="232"/>
      <c r="AH24" s="233">
        <f t="shared" si="6"/>
        <v>14.925877709198984</v>
      </c>
    </row>
    <row r="25" spans="1:34" s="234" customFormat="1" ht="12.75" x14ac:dyDescent="0.2">
      <c r="A25" s="235">
        <v>2024</v>
      </c>
      <c r="B25" s="236">
        <f>[1]Recap!$I17</f>
        <v>-2.678525521337022</v>
      </c>
      <c r="C25" s="236">
        <f>[2]Recap!$I17</f>
        <v>-2.3674385119665757</v>
      </c>
      <c r="D25" s="236">
        <f>[3]Recap!$I17</f>
        <v>-0.18482780309161839</v>
      </c>
      <c r="E25" s="236">
        <f>[4]Recap!$I17</f>
        <v>-6.9462079684137201E-2</v>
      </c>
      <c r="F25" s="236">
        <f>[5]Recap!$I17</f>
        <v>86.471626157618658</v>
      </c>
      <c r="G25" s="236">
        <f>[6]Recap!$I17</f>
        <v>-0.62159368097191425</v>
      </c>
      <c r="H25" s="236">
        <f>[7]Recap!$I17</f>
        <v>-4.1140336478168251</v>
      </c>
      <c r="I25" s="236">
        <f>[8]Recap!$I16</f>
        <v>2.5812891357517458</v>
      </c>
      <c r="J25" s="236">
        <f>[9]Recap!$I16</f>
        <v>-0.2681971444405562</v>
      </c>
      <c r="K25" s="236">
        <f>[10]Recap!$I16</f>
        <v>-1.2568360133798029E-2</v>
      </c>
      <c r="L25" s="236">
        <f>[11]Recap!$I15</f>
        <v>-4.2180353157712069E-2</v>
      </c>
      <c r="M25" s="236">
        <f>[12]Recap!$I15</f>
        <v>-0.13442187320335286</v>
      </c>
      <c r="N25" s="236">
        <f>[13]Recap!$I15</f>
        <v>-5.1032724598259138E-2</v>
      </c>
      <c r="O25" s="236">
        <f>[14]Recap!$I13</f>
        <v>-0.228815704772801</v>
      </c>
      <c r="P25" s="237">
        <f>[15]Recap!$I13</f>
        <v>-0.13400936554940923</v>
      </c>
      <c r="Q25" s="238">
        <f t="shared" si="5"/>
        <v>78.145808522646433</v>
      </c>
      <c r="R25" s="239">
        <v>2024</v>
      </c>
      <c r="S25" s="240">
        <f>+'Gain action'!B25*S$3</f>
        <v>-0.63561410621327541</v>
      </c>
      <c r="T25" s="240">
        <f>+'Gain action'!C25*T$3</f>
        <v>-0.56179315888966841</v>
      </c>
      <c r="U25" s="240">
        <f>+'Gain action'!D25*U$3</f>
        <v>-4.3859637673641046E-2</v>
      </c>
      <c r="V25" s="240">
        <f>+'Gain action'!E25*V$3</f>
        <v>-1.6483351509045757E-2</v>
      </c>
      <c r="W25" s="240">
        <f>+'Gain action'!F25*W$3</f>
        <v>20.519716887202907</v>
      </c>
      <c r="X25" s="240">
        <f>+'Gain action'!G25*X$3</f>
        <v>-0.14750418049463526</v>
      </c>
      <c r="Y25" s="240">
        <f>+'Gain action'!H25*Y$3</f>
        <v>-0.97626018462693265</v>
      </c>
      <c r="Z25" s="240">
        <f>+'Gain action'!I25*Z$3</f>
        <v>0.50670705734806776</v>
      </c>
      <c r="AA25" s="240">
        <f>+'Gain action'!J25*AA$3</f>
        <v>-5.2647099453681186E-2</v>
      </c>
      <c r="AB25" s="240">
        <f>+'Gain action'!K25*AB$3</f>
        <v>-2.4671690942645532E-3</v>
      </c>
      <c r="AC25" s="240">
        <f>+'Gain action'!L25*AC$3</f>
        <v>-5.0911686261358472E-3</v>
      </c>
      <c r="AD25" s="240">
        <f>+'Gain action'!M25*AD$3</f>
        <v>-1.6224720095644692E-2</v>
      </c>
      <c r="AE25" s="240">
        <f>+'Gain action'!N25*AE$3</f>
        <v>-6.1596498590098777E-3</v>
      </c>
      <c r="AF25" s="240">
        <f>+'Gain action'!O25*AF$3</f>
        <v>-2.5970582491712912E-2</v>
      </c>
      <c r="AG25" s="241">
        <f>+'Gain action'!P25*AG$3</f>
        <v>-2.0382824500065146E-2</v>
      </c>
      <c r="AH25" s="242">
        <f t="shared" si="6"/>
        <v>18.515966111023257</v>
      </c>
    </row>
    <row r="26" spans="1:34" s="234" customFormat="1" ht="12.75" x14ac:dyDescent="0.2">
      <c r="A26" s="235">
        <v>2025</v>
      </c>
      <c r="B26" s="236">
        <f>[1]Recap!$I18</f>
        <v>27.621459277795864</v>
      </c>
      <c r="C26" s="236">
        <f>[2]Recap!$I18</f>
        <v>30.855550605107137</v>
      </c>
      <c r="D26" s="236">
        <f>[3]Recap!$I18</f>
        <v>4.3051425800282654</v>
      </c>
      <c r="E26" s="236">
        <f>[4]Recap!$I18</f>
        <v>1.7309531358197427</v>
      </c>
      <c r="F26" s="236">
        <f>[5]Recap!$I18</f>
        <v>93.681703688589323</v>
      </c>
      <c r="G26" s="236">
        <f>[6]Recap!$I18</f>
        <v>7.2757474834586517</v>
      </c>
      <c r="H26" s="236">
        <f>[7]Recap!$I18</f>
        <v>151.89012142728001</v>
      </c>
      <c r="I26" s="236">
        <f>[8]Recap!$I17</f>
        <v>0.23767508376685953</v>
      </c>
      <c r="J26" s="236">
        <f>[9]Recap!$I17</f>
        <v>-0.74489933654473006</v>
      </c>
      <c r="K26" s="236">
        <f>[10]Recap!$I17</f>
        <v>-4.4377909788347991E-2</v>
      </c>
      <c r="L26" s="236">
        <f>[11]Recap!$I16</f>
        <v>-7.4102522158876027E-2</v>
      </c>
      <c r="M26" s="236">
        <f>[12]Recap!$I16</f>
        <v>-0.47907167840027043</v>
      </c>
      <c r="N26" s="236">
        <f>[13]Recap!$I16</f>
        <v>-5.9263503431401077E-2</v>
      </c>
      <c r="O26" s="236">
        <f>[14]Recap!$I14</f>
        <v>-0.4301968226063817</v>
      </c>
      <c r="P26" s="237">
        <f>[15]Recap!$I14</f>
        <v>-0.27936598533131551</v>
      </c>
      <c r="Q26" s="238">
        <f t="shared" si="5"/>
        <v>315.48707552358456</v>
      </c>
      <c r="R26" s="239">
        <v>2025</v>
      </c>
      <c r="S26" s="240">
        <f>+'Gain action'!B26*S$3</f>
        <v>6.5545722866209593</v>
      </c>
      <c r="T26" s="240">
        <f>+'Gain action'!C26*T$3</f>
        <v>7.3220221585919241</v>
      </c>
      <c r="U26" s="240">
        <f>+'Gain action'!D26*U$3</f>
        <v>1.0216103342407075</v>
      </c>
      <c r="V26" s="240">
        <f>+'Gain action'!E26*V$3</f>
        <v>0.41075517913002496</v>
      </c>
      <c r="W26" s="240">
        <f>+'Gain action'!F26*W$3</f>
        <v>22.230668285302247</v>
      </c>
      <c r="X26" s="240">
        <f>+'Gain action'!G26*X$3</f>
        <v>1.7265348778247382</v>
      </c>
      <c r="Y26" s="240">
        <f>+'Gain action'!H26*Y$3</f>
        <v>36.043525814693545</v>
      </c>
      <c r="Z26" s="240">
        <f>+'Gain action'!I26*Z$3</f>
        <v>4.6655618943434528E-2</v>
      </c>
      <c r="AA26" s="240">
        <f>+'Gain action'!J26*AA$3</f>
        <v>-0.14622373976373051</v>
      </c>
      <c r="AB26" s="240">
        <f>+'Gain action'!K26*AB$3</f>
        <v>-8.7113836914527107E-3</v>
      </c>
      <c r="AC26" s="240">
        <f>+'Gain action'!L26*AC$3</f>
        <v>-8.9441744245763368E-3</v>
      </c>
      <c r="AD26" s="240">
        <f>+'Gain action'!M26*AD$3</f>
        <v>-5.782395158291264E-2</v>
      </c>
      <c r="AE26" s="240">
        <f>+'Gain action'!N26*AE$3</f>
        <v>-7.15310486417011E-3</v>
      </c>
      <c r="AF26" s="240">
        <f>+'Gain action'!O26*AF$3</f>
        <v>-4.8827339365824327E-2</v>
      </c>
      <c r="AG26" s="241">
        <f>+'Gain action'!P26*AG$3</f>
        <v>-4.2491566368893091E-2</v>
      </c>
      <c r="AH26" s="242">
        <f t="shared" si="6"/>
        <v>75.036169295286015</v>
      </c>
    </row>
    <row r="27" spans="1:34" s="234" customFormat="1" ht="12.75" x14ac:dyDescent="0.2">
      <c r="A27" s="235">
        <v>2026</v>
      </c>
      <c r="B27" s="236">
        <f>[1]Recap!$I19</f>
        <v>55.337574856388592</v>
      </c>
      <c r="C27" s="236">
        <f>[2]Recap!$I19</f>
        <v>40.086557939049534</v>
      </c>
      <c r="D27" s="236">
        <f>[3]Recap!$I19</f>
        <v>5.2968507209613005</v>
      </c>
      <c r="E27" s="236">
        <f>[4]Recap!$I19</f>
        <v>2.6104651102257672</v>
      </c>
      <c r="F27" s="236">
        <f>[5]Recap!$I19</f>
        <v>100.50880149183476</v>
      </c>
      <c r="G27" s="236">
        <f>[6]Recap!$I19</f>
        <v>11.377904776384064</v>
      </c>
      <c r="H27" s="236">
        <f>[7]Recap!$I19</f>
        <v>289.93111276715723</v>
      </c>
      <c r="I27" s="236">
        <f>[8]Recap!$I18</f>
        <v>74.158758690165115</v>
      </c>
      <c r="J27" s="236">
        <f>[9]Recap!$I18</f>
        <v>14.006681016420869</v>
      </c>
      <c r="K27" s="236">
        <f>[10]Recap!$I18</f>
        <v>0.71725379668444333</v>
      </c>
      <c r="L27" s="236">
        <f>[11]Recap!$I17</f>
        <v>-8.0381426551505264E-2</v>
      </c>
      <c r="M27" s="236">
        <f>[12]Recap!$I17</f>
        <v>-0.5196917121965825</v>
      </c>
      <c r="N27" s="236">
        <f>[13]Recap!$I17</f>
        <v>-7.2193941512979976E-2</v>
      </c>
      <c r="O27" s="236">
        <f>[14]Recap!$I15</f>
        <v>-0.48428058209130853</v>
      </c>
      <c r="P27" s="237">
        <f>[15]Recap!$I15</f>
        <v>-0.31128484231866871</v>
      </c>
      <c r="Q27" s="238">
        <f t="shared" si="5"/>
        <v>592.56412866060066</v>
      </c>
      <c r="R27" s="239">
        <v>2026</v>
      </c>
      <c r="S27" s="240">
        <f>+'Gain action'!B27*S$3</f>
        <v>13.131606513421014</v>
      </c>
      <c r="T27" s="240">
        <f>+'Gain action'!C27*T$3</f>
        <v>9.5125401989364544</v>
      </c>
      <c r="U27" s="240">
        <f>+'Gain action'!D27*U$3</f>
        <v>1.2569426760841167</v>
      </c>
      <c r="V27" s="240">
        <f>+'Gain action'!E27*V$3</f>
        <v>0.61946337065657464</v>
      </c>
      <c r="W27" s="240">
        <f>+'Gain action'!F27*W$3</f>
        <v>23.850738594012391</v>
      </c>
      <c r="X27" s="240">
        <f>+'Gain action'!G27*X$3</f>
        <v>2.6999768034359386</v>
      </c>
      <c r="Y27" s="240">
        <f>+'Gain action'!H27*Y$3</f>
        <v>68.800653059646407</v>
      </c>
      <c r="Z27" s="240">
        <f>+'Gain action'!I27*Z$3</f>
        <v>14.557364330879413</v>
      </c>
      <c r="AA27" s="240">
        <f>+'Gain action'!J27*AA$3</f>
        <v>2.7495114835234165</v>
      </c>
      <c r="AB27" s="240">
        <f>+'Gain action'!K27*AB$3</f>
        <v>0.14079692028915622</v>
      </c>
      <c r="AC27" s="240">
        <f>+'Gain action'!L27*AC$3</f>
        <v>-9.702038184766686E-3</v>
      </c>
      <c r="AD27" s="240">
        <f>+'Gain action'!M27*AD$3</f>
        <v>-6.2726789662127511E-2</v>
      </c>
      <c r="AE27" s="240">
        <f>+'Gain action'!N27*AE$3</f>
        <v>-8.7138087406166825E-3</v>
      </c>
      <c r="AF27" s="240">
        <f>+'Gain action'!O27*AF$3</f>
        <v>-5.4965846067363523E-2</v>
      </c>
      <c r="AG27" s="241">
        <f>+'Gain action'!P27*AG$3</f>
        <v>-4.7346424516669518E-2</v>
      </c>
      <c r="AH27" s="242">
        <f t="shared" si="6"/>
        <v>137.13613904371331</v>
      </c>
    </row>
    <row r="28" spans="1:34" s="234" customFormat="1" ht="12.75" x14ac:dyDescent="0.2">
      <c r="A28" s="235">
        <v>2027</v>
      </c>
      <c r="B28" s="142">
        <f>[1]Recap!$I20</f>
        <v>56.790025174501622</v>
      </c>
      <c r="C28" s="142">
        <f>[2]Recap!$I20</f>
        <v>45.141778515533787</v>
      </c>
      <c r="D28" s="142">
        <f>[3]Recap!$I20</f>
        <v>5.5074551415203317</v>
      </c>
      <c r="E28" s="142">
        <f>[4]Recap!$I20</f>
        <v>3.0878914847980461</v>
      </c>
      <c r="F28" s="142">
        <f>[5]Recap!$I20</f>
        <v>99.052325658679365</v>
      </c>
      <c r="G28" s="142">
        <f>[6]Recap!$I20</f>
        <v>12.772468662001872</v>
      </c>
      <c r="H28" s="142">
        <f>[7]Recap!$I20</f>
        <v>331.37415622309891</v>
      </c>
      <c r="I28" s="142">
        <f>[8]Recap!$I19</f>
        <v>128.42458774110102</v>
      </c>
      <c r="J28" s="142">
        <f>[9]Recap!$I19</f>
        <v>23.296142216023533</v>
      </c>
      <c r="K28" s="142">
        <f>[10]Recap!$I19</f>
        <v>1.3558502523358762</v>
      </c>
      <c r="L28" s="142">
        <f>[11]Recap!$I18</f>
        <v>2.2387489204137014</v>
      </c>
      <c r="M28" s="142">
        <f>[12]Recap!$I18</f>
        <v>20.272249368533032</v>
      </c>
      <c r="N28" s="142">
        <f>[13]Recap!$I18</f>
        <v>6.3233939269932549</v>
      </c>
      <c r="O28" s="142">
        <f>[14]Recap!$I16</f>
        <v>-0.73402684311324151</v>
      </c>
      <c r="P28" s="146">
        <f>[15]Recap!$I16</f>
        <v>-0.47336304364997694</v>
      </c>
      <c r="Q28" s="243">
        <f t="shared" si="5"/>
        <v>734.42968339877132</v>
      </c>
      <c r="R28" s="239">
        <v>2027</v>
      </c>
      <c r="S28" s="244">
        <f>+'Gain action'!B28*S$3</f>
        <v>13.476272973909236</v>
      </c>
      <c r="T28" s="244">
        <f>+'Gain action'!C28*T$3</f>
        <v>10.712144041736169</v>
      </c>
      <c r="U28" s="244">
        <f>+'Gain action'!D28*U$3</f>
        <v>1.3069191050827749</v>
      </c>
      <c r="V28" s="244">
        <f>+'Gain action'!E28*V$3</f>
        <v>0.73275664934257634</v>
      </c>
      <c r="W28" s="244">
        <f>+'Gain action'!F28*W$3</f>
        <v>23.505116878804614</v>
      </c>
      <c r="X28" s="244">
        <f>+'Gain action'!G28*X$3</f>
        <v>3.0309068134930444</v>
      </c>
      <c r="Y28" s="244">
        <f>+'Gain action'!H28*Y$3</f>
        <v>78.635087271741369</v>
      </c>
      <c r="Z28" s="244">
        <f>+'Gain action'!I28*Z$3</f>
        <v>25.20974657357813</v>
      </c>
      <c r="AA28" s="244">
        <f>+'Gain action'!J28*AA$3</f>
        <v>4.5730327170054199</v>
      </c>
      <c r="AB28" s="244">
        <f>+'Gain action'!K28*AB$3</f>
        <v>0.26615340453353248</v>
      </c>
      <c r="AC28" s="244">
        <f>+'Gain action'!L28*AC$3</f>
        <v>0.27021699469393379</v>
      </c>
      <c r="AD28" s="244">
        <f>+'Gain action'!M28*AD$3</f>
        <v>2.4468604987819371</v>
      </c>
      <c r="AE28" s="244">
        <f>+'Gain action'!N28*AE$3</f>
        <v>0.76323364698808582</v>
      </c>
      <c r="AF28" s="244">
        <f>+'Gain action'!O28*AF$3</f>
        <v>-8.3312046693352917E-2</v>
      </c>
      <c r="AG28" s="245">
        <f>+'Gain action'!P28*AG$3</f>
        <v>-7.1998518939161496E-2</v>
      </c>
      <c r="AH28" s="246">
        <f t="shared" si="6"/>
        <v>164.7731370040583</v>
      </c>
    </row>
    <row r="29" spans="1:34" s="234" customFormat="1" x14ac:dyDescent="0.2">
      <c r="A29" s="261" t="s">
        <v>57</v>
      </c>
      <c r="B29" s="165">
        <f t="shared" ref="B29:H29" si="7">SUM(B23:B28)</f>
        <v>132.10486253146379</v>
      </c>
      <c r="C29" s="165">
        <f t="shared" si="7"/>
        <v>110.5082012956502</v>
      </c>
      <c r="D29" s="165">
        <f t="shared" si="7"/>
        <v>14.653764246478408</v>
      </c>
      <c r="E29" s="165">
        <f t="shared" si="7"/>
        <v>7.2630827150713877</v>
      </c>
      <c r="F29" s="165">
        <f t="shared" si="7"/>
        <v>521.92328999433289</v>
      </c>
      <c r="G29" s="165">
        <f t="shared" si="7"/>
        <v>29.791329512398555</v>
      </c>
      <c r="H29" s="165">
        <f t="shared" si="7"/>
        <v>755.93099162791214</v>
      </c>
      <c r="I29" s="165">
        <f t="shared" ref="I29:P29" si="8">SUM(I25:I28)</f>
        <v>205.40231065078473</v>
      </c>
      <c r="J29" s="165">
        <f t="shared" si="8"/>
        <v>36.289726751459114</v>
      </c>
      <c r="K29" s="165">
        <f t="shared" si="8"/>
        <v>2.0161577790981733</v>
      </c>
      <c r="L29" s="165">
        <f t="shared" si="8"/>
        <v>2.0420846185456081</v>
      </c>
      <c r="M29" s="165">
        <f>SUM(M25:M28)</f>
        <v>19.139064104732824</v>
      </c>
      <c r="N29" s="165">
        <f t="shared" si="8"/>
        <v>6.1409037574506149</v>
      </c>
      <c r="O29" s="165">
        <f t="shared" si="8"/>
        <v>-1.8773199525837327</v>
      </c>
      <c r="P29" s="165">
        <f t="shared" si="8"/>
        <v>-1.1980232368493704</v>
      </c>
      <c r="Q29" s="243">
        <f t="shared" si="5"/>
        <v>1840.1304263959453</v>
      </c>
      <c r="R29" s="262" t="s">
        <v>57</v>
      </c>
      <c r="S29" s="263">
        <f t="shared" ref="S29:Y29" si="9">SUM(S23:S28)</f>
        <v>31.348483878716362</v>
      </c>
      <c r="T29" s="263">
        <f t="shared" si="9"/>
        <v>26.223596167457792</v>
      </c>
      <c r="U29" s="263">
        <f>SUM(U23:U28)</f>
        <v>3.4773382556893271</v>
      </c>
      <c r="V29" s="263">
        <f t="shared" si="9"/>
        <v>1.7235295282864402</v>
      </c>
      <c r="W29" s="263">
        <f t="shared" si="9"/>
        <v>123.8523967156552</v>
      </c>
      <c r="X29" s="263">
        <f t="shared" si="9"/>
        <v>7.0694824932921776</v>
      </c>
      <c r="Y29" s="263">
        <f t="shared" si="9"/>
        <v>179.38242431330355</v>
      </c>
      <c r="Z29" s="263">
        <f>SUM(Z24:Z28)</f>
        <v>40.547150541666824</v>
      </c>
      <c r="AA29" s="263">
        <f>SUM(AA24:AA28)</f>
        <v>7.0563274626684027</v>
      </c>
      <c r="AB29" s="263">
        <f>SUM(AB24:AB28)</f>
        <v>0.39157360493273002</v>
      </c>
      <c r="AC29" s="263">
        <f>SUM(AC23:AC28)</f>
        <v>0.23976579401382186</v>
      </c>
      <c r="AD29" s="263">
        <f>SUM(AD23:AD28)</f>
        <v>2.2644919991211534</v>
      </c>
      <c r="AE29" s="263">
        <f>SUM(AE23:AE28)</f>
        <v>0.73786112468796261</v>
      </c>
      <c r="AF29" s="263">
        <f>SUM(AF23:AF28)</f>
        <v>-0.2130758146182537</v>
      </c>
      <c r="AG29" s="263">
        <f>SUM(AG23:AG28)</f>
        <v>-0.18221933432478926</v>
      </c>
      <c r="AH29" s="263">
        <f t="shared" si="6"/>
        <v>423.91912673054867</v>
      </c>
    </row>
    <row r="30" spans="1:34" s="234" customFormat="1" x14ac:dyDescent="0.2">
      <c r="A30" s="19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83"/>
      <c r="AH30" s="264"/>
    </row>
    <row r="31" spans="1:34" s="265" customFormat="1" x14ac:dyDescent="0.2">
      <c r="A31" s="19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83"/>
      <c r="AH31" s="266"/>
    </row>
    <row r="32" spans="1:34" s="265" customFormat="1" x14ac:dyDescent="0.2">
      <c r="A32" s="19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83"/>
      <c r="R32" s="267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workbookViewId="0">
      <selection activeCell="M9" sqref="M9"/>
    </sheetView>
  </sheetViews>
  <sheetFormatPr baseColWidth="10" defaultRowHeight="15" x14ac:dyDescent="0.25"/>
  <cols>
    <col min="1" max="1" width="5.7109375" customWidth="1"/>
    <col min="2" max="16" width="8.42578125" style="2" customWidth="1"/>
    <col min="17" max="17" width="6" style="126" bestFit="1" customWidth="1"/>
    <col min="18" max="18" width="1.140625" customWidth="1"/>
    <col min="19" max="19" width="5.7109375" customWidth="1"/>
    <col min="20" max="26" width="8.42578125" style="2" customWidth="1"/>
    <col min="27" max="27" width="8.42578125" style="125" customWidth="1"/>
    <col min="28" max="29" width="8.42578125" style="2" customWidth="1"/>
    <col min="30" max="34" width="8.42578125" style="125" customWidth="1"/>
  </cols>
  <sheetData>
    <row r="1" spans="1:34" ht="18.75" x14ac:dyDescent="0.3">
      <c r="A1" s="1" t="s">
        <v>53</v>
      </c>
      <c r="Q1" s="124"/>
      <c r="S1" s="1" t="s">
        <v>54</v>
      </c>
    </row>
    <row r="2" spans="1:34" ht="7.5" customHeight="1" x14ac:dyDescent="0.3">
      <c r="A2" s="1"/>
      <c r="S2" s="1"/>
    </row>
    <row r="3" spans="1:34" ht="15.75" x14ac:dyDescent="0.25">
      <c r="A3" s="5" t="s">
        <v>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27"/>
      <c r="S3" s="5" t="s">
        <v>55</v>
      </c>
      <c r="T3" s="6"/>
      <c r="U3" s="6"/>
      <c r="V3" s="6"/>
      <c r="W3" s="6"/>
      <c r="X3" s="6"/>
      <c r="Y3" s="6"/>
      <c r="Z3" s="6"/>
      <c r="AB3" s="6"/>
      <c r="AC3" s="6"/>
    </row>
    <row r="4" spans="1:34" s="15" customFormat="1" ht="33.75" x14ac:dyDescent="0.2">
      <c r="A4" s="88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28" t="s">
        <v>56</v>
      </c>
      <c r="S4" s="11" t="s">
        <v>4</v>
      </c>
      <c r="T4" s="12" t="s">
        <v>5</v>
      </c>
      <c r="U4" s="12" t="s">
        <v>6</v>
      </c>
      <c r="V4" s="12" t="s">
        <v>7</v>
      </c>
      <c r="W4" s="12" t="s">
        <v>8</v>
      </c>
      <c r="X4" s="12" t="s">
        <v>9</v>
      </c>
      <c r="Y4" s="12" t="s">
        <v>10</v>
      </c>
      <c r="Z4" s="12" t="s">
        <v>11</v>
      </c>
      <c r="AA4" s="129" t="s">
        <v>12</v>
      </c>
      <c r="AB4" s="12" t="s">
        <v>13</v>
      </c>
      <c r="AC4" s="12" t="s">
        <v>14</v>
      </c>
      <c r="AD4" s="129" t="s">
        <v>15</v>
      </c>
      <c r="AE4" s="129" t="s">
        <v>16</v>
      </c>
      <c r="AF4" s="129" t="s">
        <v>17</v>
      </c>
      <c r="AG4" s="12" t="s">
        <v>18</v>
      </c>
      <c r="AH4" s="12" t="s">
        <v>19</v>
      </c>
    </row>
    <row r="5" spans="1:34" s="15" customFormat="1" ht="12.75" x14ac:dyDescent="0.2">
      <c r="A5" s="16">
        <v>2018</v>
      </c>
      <c r="B5" s="130">
        <f>[1]Recap!$C11</f>
        <v>104.45963514175737</v>
      </c>
      <c r="C5" s="130">
        <f>[1]Recap!$C11</f>
        <v>104.45963514175737</v>
      </c>
      <c r="D5" s="130">
        <f>[3]Recap!$C11</f>
        <v>36.932606393934712</v>
      </c>
      <c r="E5" s="130">
        <f>[4]Recap!$C11</f>
        <v>30.609239625815459</v>
      </c>
      <c r="F5" s="130">
        <f>[5]Recap!$C11</f>
        <v>33.012472000524284</v>
      </c>
      <c r="G5" s="130">
        <f>[6]Recap!$C11</f>
        <v>24.420032290291541</v>
      </c>
      <c r="H5" s="130">
        <f>[7]Recap!$C11</f>
        <v>30.552063883907749</v>
      </c>
      <c r="I5" s="130"/>
      <c r="J5" s="130"/>
      <c r="K5" s="130"/>
      <c r="L5" s="130"/>
      <c r="M5" s="130"/>
      <c r="N5" s="130"/>
      <c r="O5" s="130"/>
      <c r="P5" s="131"/>
      <c r="Q5" s="127">
        <f>SUM(B5:P5)</f>
        <v>364.44568447798849</v>
      </c>
      <c r="S5" s="16">
        <v>2018</v>
      </c>
      <c r="T5" s="132">
        <f>[1]Recap!$F35</f>
        <v>2.3139818916091848E-2</v>
      </c>
      <c r="U5" s="132">
        <f>[2]Recap!$F35</f>
        <v>1.3832790032349813E-2</v>
      </c>
      <c r="V5" s="132">
        <f>[3]Recap!$F35</f>
        <v>8.4529321930039529E-3</v>
      </c>
      <c r="W5" s="132">
        <f>[4]Recap!$F35</f>
        <v>6.6168115946364887E-3</v>
      </c>
      <c r="X5" s="132">
        <f>[5]Recap!$F35</f>
        <v>1.3078589487783501E-2</v>
      </c>
      <c r="Y5" s="132">
        <f>[6]Recap!$F35</f>
        <v>1.7658570172236029E-2</v>
      </c>
      <c r="Z5" s="132">
        <f>[7]Recap!$F35</f>
        <v>2.2338239950172905E-2</v>
      </c>
      <c r="AA5" s="132"/>
      <c r="AB5" s="130"/>
      <c r="AC5" s="130"/>
      <c r="AD5" s="132"/>
      <c r="AE5" s="132"/>
      <c r="AF5" s="132"/>
      <c r="AG5" s="132"/>
      <c r="AH5" s="133"/>
    </row>
    <row r="6" spans="1:34" s="15" customFormat="1" ht="12.75" x14ac:dyDescent="0.2">
      <c r="A6" s="16">
        <v>2019</v>
      </c>
      <c r="B6" s="130">
        <f>[1]Recap!$C12</f>
        <v>507.07282394770164</v>
      </c>
      <c r="C6" s="130">
        <f>[1]Recap!$C12</f>
        <v>507.07282394770164</v>
      </c>
      <c r="D6" s="130">
        <f>[3]Recap!$C12</f>
        <v>285.97822596912249</v>
      </c>
      <c r="E6" s="130">
        <f>[4]Recap!$C12</f>
        <v>253.32286439712462</v>
      </c>
      <c r="F6" s="130">
        <f>[5]Recap!$C12</f>
        <v>575.07137572209467</v>
      </c>
      <c r="G6" s="130">
        <f>[6]Recap!$C12</f>
        <v>601.13820574501779</v>
      </c>
      <c r="H6" s="130">
        <f>[7]Recap!$C12</f>
        <v>767.13225606728577</v>
      </c>
      <c r="I6" s="130">
        <f>[8]Recap!$C11</f>
        <v>129.71298858848573</v>
      </c>
      <c r="J6" s="130">
        <f>[9]Recap!$C11</f>
        <v>160.22566753486308</v>
      </c>
      <c r="K6" s="130">
        <f>[10]Recap!$C11</f>
        <v>180.06133510994408</v>
      </c>
      <c r="L6" s="130"/>
      <c r="M6" s="130"/>
      <c r="N6" s="130"/>
      <c r="O6" s="130"/>
      <c r="P6" s="134"/>
      <c r="Q6" s="127">
        <f t="shared" ref="Q6:Q15" si="0">SUM(B6:P6)</f>
        <v>3966.7885670293413</v>
      </c>
      <c r="S6" s="16">
        <v>2019</v>
      </c>
      <c r="T6" s="132">
        <f>[1]Recap!$F36</f>
        <v>6.7281657117784069E-2</v>
      </c>
      <c r="U6" s="132">
        <f>[2]Recap!$F36</f>
        <v>4.64662655805008E-2</v>
      </c>
      <c r="V6" s="132">
        <f>[3]Recap!$F36</f>
        <v>2.4484271937245897E-2</v>
      </c>
      <c r="W6" s="132">
        <f>[4]Recap!$F36</f>
        <v>2.1318245012230778E-2</v>
      </c>
      <c r="X6" s="132">
        <f>[5]Recap!$F36</f>
        <v>5.469328384139921E-2</v>
      </c>
      <c r="Y6" s="132">
        <f>[6]Recap!$F36</f>
        <v>5.4861483830057303E-2</v>
      </c>
      <c r="Z6" s="132">
        <f>[7]Recap!$F36</f>
        <v>7.0713003173555944E-2</v>
      </c>
      <c r="AA6" s="132">
        <f>[8]Recap!$F35</f>
        <v>1.2866445097281678E-2</v>
      </c>
      <c r="AB6" s="132">
        <f>[9]Recap!$F35</f>
        <v>1.5565898553265435E-2</v>
      </c>
      <c r="AC6" s="132">
        <f>[10]Recap!$F35</f>
        <v>1.7322603295289271E-2</v>
      </c>
      <c r="AD6" s="132"/>
      <c r="AE6" s="132"/>
      <c r="AF6" s="132"/>
      <c r="AG6" s="132"/>
      <c r="AH6" s="135"/>
    </row>
    <row r="7" spans="1:34" s="15" customFormat="1" ht="12.75" x14ac:dyDescent="0.2">
      <c r="A7" s="16">
        <v>2020</v>
      </c>
      <c r="B7" s="130">
        <f>[1]Recap!$C13</f>
        <v>741.96867869641869</v>
      </c>
      <c r="C7" s="130">
        <f>[1]Recap!$C13</f>
        <v>741.96867869641869</v>
      </c>
      <c r="D7" s="130">
        <f>[3]Recap!$C13</f>
        <v>455.92146644226523</v>
      </c>
      <c r="E7" s="130">
        <f>[4]Recap!$C13</f>
        <v>457.78952847373029</v>
      </c>
      <c r="F7" s="130">
        <f>[5]Recap!$C13</f>
        <v>992.19515441245949</v>
      </c>
      <c r="G7" s="130">
        <f>[6]Recap!$C13</f>
        <v>1052.335449772987</v>
      </c>
      <c r="H7" s="130">
        <f>[7]Recap!$C13</f>
        <v>1278.2745582991847</v>
      </c>
      <c r="I7" s="130">
        <f>[8]Recap!$C12</f>
        <v>366.89761327029095</v>
      </c>
      <c r="J7" s="130">
        <f>[9]Recap!$C12</f>
        <v>461.22295909605776</v>
      </c>
      <c r="K7" s="130">
        <f>[10]Recap!$C12</f>
        <v>512.71335922203446</v>
      </c>
      <c r="L7" s="130">
        <f>[11]Recap!$C11</f>
        <v>735.93705271694512</v>
      </c>
      <c r="M7" s="130">
        <f>[12]Recap!$C11</f>
        <v>527.34274757565163</v>
      </c>
      <c r="N7" s="130">
        <f>[13]Recap!$C11</f>
        <v>145.71079101358038</v>
      </c>
      <c r="O7" s="130"/>
      <c r="P7" s="134"/>
      <c r="Q7" s="127">
        <f t="shared" si="0"/>
        <v>8470.2780376880237</v>
      </c>
      <c r="S7" s="16">
        <v>2020</v>
      </c>
      <c r="T7" s="132">
        <f>[1]Recap!$F37</f>
        <v>0.10342521867152105</v>
      </c>
      <c r="U7" s="132">
        <f>[2]Recap!$F37</f>
        <v>7.9871403999922944E-2</v>
      </c>
      <c r="V7" s="132">
        <f>[3]Recap!$F37</f>
        <v>4.0275122779894493E-2</v>
      </c>
      <c r="W7" s="132">
        <f>[4]Recap!$F37</f>
        <v>3.9995627830974871E-2</v>
      </c>
      <c r="X7" s="132">
        <f>[5]Recap!$F37</f>
        <v>9.9958663397224992E-2</v>
      </c>
      <c r="Y7" s="132">
        <f>[6]Recap!$F37</f>
        <v>0.10048154472285574</v>
      </c>
      <c r="Z7" s="132">
        <f>[7]Recap!$F37</f>
        <v>0.12771989740558692</v>
      </c>
      <c r="AA7" s="132">
        <f>[8]Recap!$F36</f>
        <v>3.2107379766274258E-2</v>
      </c>
      <c r="AB7" s="132">
        <f>[9]Recap!$F36</f>
        <v>4.0132050151129466E-2</v>
      </c>
      <c r="AC7" s="132">
        <f>[10]Recap!$F36</f>
        <v>4.4142983731602067E-2</v>
      </c>
      <c r="AD7" s="132">
        <f>[11]Recap!$F35</f>
        <v>1.5759589698497976E-2</v>
      </c>
      <c r="AE7" s="132">
        <f>[12]Recap!$F35</f>
        <v>1.1334393836478921E-2</v>
      </c>
      <c r="AF7" s="132">
        <f>[13]Recap!$F35</f>
        <v>5.6556228080375933E-3</v>
      </c>
      <c r="AG7" s="132"/>
      <c r="AH7" s="135"/>
    </row>
    <row r="8" spans="1:34" s="15" customFormat="1" ht="12.75" x14ac:dyDescent="0.2">
      <c r="A8" s="16">
        <v>2021</v>
      </c>
      <c r="B8" s="130">
        <f>[1]Recap!$C14</f>
        <v>398.89595030755072</v>
      </c>
      <c r="C8" s="130">
        <f>[2]Recap!$C14</f>
        <v>404.81144990838033</v>
      </c>
      <c r="D8" s="130">
        <f>[3]Recap!$C14</f>
        <v>249.67904070489021</v>
      </c>
      <c r="E8" s="130">
        <f>[4]Recap!$C14</f>
        <v>280.10141859979717</v>
      </c>
      <c r="F8" s="130">
        <f>[5]Recap!$C14</f>
        <v>617.85034858846996</v>
      </c>
      <c r="G8" s="130">
        <f>[6]Recap!$C14</f>
        <v>618.6689035315336</v>
      </c>
      <c r="H8" s="130">
        <f>[7]Recap!$C14</f>
        <v>877.12569765304715</v>
      </c>
      <c r="I8" s="130">
        <f>[8]Recap!$C13</f>
        <v>521.02846258409818</v>
      </c>
      <c r="J8" s="130">
        <f>[9]Recap!$C13</f>
        <v>744.45236324571476</v>
      </c>
      <c r="K8" s="130">
        <f>[10]Recap!$C13</f>
        <v>947.64458872461057</v>
      </c>
      <c r="L8" s="130">
        <f>[11]Recap!$C12</f>
        <v>1466.8051397519837</v>
      </c>
      <c r="M8" s="130">
        <f>[12]Recap!$C12</f>
        <v>1749.1243121915923</v>
      </c>
      <c r="N8" s="130">
        <f>[13]Recap!$C12</f>
        <v>559.08096936676816</v>
      </c>
      <c r="O8" s="130"/>
      <c r="P8" s="134"/>
      <c r="Q8" s="127">
        <f t="shared" si="0"/>
        <v>9435.2686451584377</v>
      </c>
      <c r="S8" s="16">
        <v>2021</v>
      </c>
      <c r="T8" s="132">
        <f>[1]Recap!$F38</f>
        <v>5.5010862046536435E-2</v>
      </c>
      <c r="U8" s="132">
        <f>[2]Recap!$F38</f>
        <v>3.6164232981732221E-2</v>
      </c>
      <c r="V8" s="132">
        <f>[3]Recap!$F38</f>
        <v>2.2240989009378057E-2</v>
      </c>
      <c r="W8" s="132">
        <f>[4]Recap!$F38</f>
        <v>2.4581160282345516E-2</v>
      </c>
      <c r="X8" s="132">
        <f>[5]Recap!$F38</f>
        <v>6.1424257065985741E-2</v>
      </c>
      <c r="Y8" s="132">
        <f>[6]Recap!$F38</f>
        <v>5.8568994388270339E-2</v>
      </c>
      <c r="Z8" s="132">
        <f>[7]Recap!$F38</f>
        <v>8.6628355225119927E-2</v>
      </c>
      <c r="AA8" s="132">
        <f>[8]Recap!$F37</f>
        <v>4.7782205151160759E-2</v>
      </c>
      <c r="AB8" s="132">
        <f>[9]Recap!$F37</f>
        <v>6.7892504425883932E-2</v>
      </c>
      <c r="AC8" s="132">
        <f>[10]Recap!$F37</f>
        <v>8.6648927570793649E-2</v>
      </c>
      <c r="AD8" s="132">
        <f>[11]Recap!$F36</f>
        <v>3.3637201482409493E-2</v>
      </c>
      <c r="AE8" s="132">
        <f>[12]Recap!$F36</f>
        <v>3.8480409365322155E-2</v>
      </c>
      <c r="AF8" s="132">
        <f>[13]Recap!$F36</f>
        <v>1.3083410656443382E-2</v>
      </c>
      <c r="AG8" s="132"/>
      <c r="AH8" s="135"/>
    </row>
    <row r="9" spans="1:34" s="43" customFormat="1" ht="12.75" x14ac:dyDescent="0.2">
      <c r="A9" s="136">
        <v>2022</v>
      </c>
      <c r="B9" s="137">
        <f>[1]Recap!$C15</f>
        <v>601.50009124311646</v>
      </c>
      <c r="C9" s="137">
        <f>[2]Recap!$C15</f>
        <v>795.70679483449362</v>
      </c>
      <c r="D9" s="137">
        <f>[3]Recap!$C15</f>
        <v>464.549706459432</v>
      </c>
      <c r="E9" s="137">
        <f>[4]Recap!$C15</f>
        <v>471.85430734159564</v>
      </c>
      <c r="F9" s="137">
        <f>[5]Recap!$C15</f>
        <v>1046.2670328009367</v>
      </c>
      <c r="G9" s="137">
        <f>[6]Recap!$C15</f>
        <v>983.35663543557212</v>
      </c>
      <c r="H9" s="137">
        <f>[7]Recap!$C15</f>
        <v>1409.4394233069897</v>
      </c>
      <c r="I9" s="137">
        <f>[8]Recap!$C14</f>
        <v>354.46051124708316</v>
      </c>
      <c r="J9" s="137">
        <f>[9]Recap!$C14</f>
        <v>413.32843494688854</v>
      </c>
      <c r="K9" s="137">
        <f>[10]Recap!$C14</f>
        <v>516.19061622073082</v>
      </c>
      <c r="L9" s="137">
        <f>[11]Recap!$C13</f>
        <v>1241.4110604236721</v>
      </c>
      <c r="M9" s="137">
        <f>[12]Recap!$C13</f>
        <v>909.20571508251612</v>
      </c>
      <c r="N9" s="137">
        <f>[13]Recap!$C13</f>
        <v>1793.3258118020576</v>
      </c>
      <c r="O9" s="137">
        <f>[14]Recap!$C11</f>
        <v>975.46900518979078</v>
      </c>
      <c r="P9" s="138">
        <f>[15]Recap!$C11</f>
        <v>171.33526937231565</v>
      </c>
      <c r="Q9" s="139">
        <f t="shared" si="0"/>
        <v>12147.40041570719</v>
      </c>
      <c r="S9" s="136">
        <v>2022</v>
      </c>
      <c r="T9" s="140">
        <f>[1]Recap!$F39</f>
        <v>8.2066513585501252E-2</v>
      </c>
      <c r="U9" s="140">
        <f>[2]Recap!$F39</f>
        <v>7.1997045409124799E-2</v>
      </c>
      <c r="V9" s="140">
        <f>[3]Recap!$F39</f>
        <v>4.0878522946332305E-2</v>
      </c>
      <c r="W9" s="140">
        <f>[4]Recap!$F39</f>
        <v>4.1274884496331612E-2</v>
      </c>
      <c r="X9" s="140">
        <f>[5]Recap!$F39</f>
        <v>0.10814025260464089</v>
      </c>
      <c r="Y9" s="140">
        <f>[6]Recap!$F39</f>
        <v>9.150835972314636E-2</v>
      </c>
      <c r="Z9" s="140">
        <f>[7]Recap!$F39</f>
        <v>0.13972581590977767</v>
      </c>
      <c r="AA9" s="140">
        <f>[8]Recap!$F38</f>
        <v>3.0156458155402827E-2</v>
      </c>
      <c r="AB9" s="140">
        <f>[9]Recap!$F38</f>
        <v>3.4950554449981144E-2</v>
      </c>
      <c r="AC9" s="140">
        <f>[10]Recap!$F38</f>
        <v>4.3468339145651673E-2</v>
      </c>
      <c r="AD9" s="140">
        <f>[11]Recap!$F37</f>
        <v>2.5499195570433755E-2</v>
      </c>
      <c r="AE9" s="140">
        <f>[12]Recap!$F37</f>
        <v>1.9095836738424476E-2</v>
      </c>
      <c r="AF9" s="140">
        <f>[13]Recap!$F37</f>
        <v>4.1707658943991616E-2</v>
      </c>
      <c r="AG9" s="140">
        <f>[14]Recap!$F35</f>
        <v>2.0742102046489776E-2</v>
      </c>
      <c r="AH9" s="141">
        <f>[15]Recap!$F35</f>
        <v>1.4934919672471136E-2</v>
      </c>
    </row>
    <row r="10" spans="1:34" s="43" customFormat="1" ht="12.75" x14ac:dyDescent="0.2">
      <c r="A10" s="33">
        <v>2023</v>
      </c>
      <c r="B10" s="142">
        <f>[1]Recap!$C16</f>
        <v>385.19101417997501</v>
      </c>
      <c r="C10" s="142">
        <f>[2]Recap!$C16</f>
        <v>506.02821209667223</v>
      </c>
      <c r="D10" s="142">
        <f>[3]Recap!$C16</f>
        <v>298.84508881003126</v>
      </c>
      <c r="E10" s="142">
        <f>[4]Recap!$C16</f>
        <v>300.59758114897966</v>
      </c>
      <c r="F10" s="142">
        <f>[5]Recap!$C16</f>
        <v>621.88754601130756</v>
      </c>
      <c r="G10" s="142">
        <f>[6]Recap!$C16</f>
        <v>604.89599936696141</v>
      </c>
      <c r="H10" s="142">
        <f>[7]Recap!$C16</f>
        <v>575.68319431568693</v>
      </c>
      <c r="I10" s="142">
        <f>[8]Recap!$C15</f>
        <v>218.03460561907795</v>
      </c>
      <c r="J10" s="142">
        <f>[9]Recap!$C15</f>
        <v>261.49868312729609</v>
      </c>
      <c r="K10" s="142">
        <f>[10]Recap!$C15</f>
        <v>285.60070537470108</v>
      </c>
      <c r="L10" s="142">
        <f>[11]Recap!$C14</f>
        <v>1089.3922400266299</v>
      </c>
      <c r="M10" s="142">
        <f>[12]Recap!$C14</f>
        <v>591.17556246761467</v>
      </c>
      <c r="N10" s="142">
        <f>[13]Recap!$C14</f>
        <v>1035.7019479941259</v>
      </c>
      <c r="O10" s="142">
        <f>[14]Recap!$C12</f>
        <v>650.69306144123868</v>
      </c>
      <c r="P10" s="143">
        <f>[15]Recap!$C12</f>
        <v>137.74392590045338</v>
      </c>
      <c r="Q10" s="142">
        <f t="shared" si="0"/>
        <v>7562.9693678807516</v>
      </c>
      <c r="S10" s="33">
        <v>2023</v>
      </c>
      <c r="T10" s="144">
        <f>[1]Recap!$F40</f>
        <v>5.110260603041597E-2</v>
      </c>
      <c r="U10" s="144">
        <f>[2]Recap!$F40</f>
        <v>4.4630998941364623E-2</v>
      </c>
      <c r="V10" s="144">
        <f>[3]Recap!$F40</f>
        <v>2.5915929113951599E-2</v>
      </c>
      <c r="W10" s="144">
        <f>[4]Recap!$F40</f>
        <v>2.5900479991032763E-2</v>
      </c>
      <c r="X10" s="144">
        <f>[5]Recap!$F40</f>
        <v>6.1786483721471601E-2</v>
      </c>
      <c r="Y10" s="144">
        <f>[6]Recap!$F40</f>
        <v>5.4354750865333534E-2</v>
      </c>
      <c r="Z10" s="144">
        <f>[7]Recap!$F40</f>
        <v>5.2996370830087743E-2</v>
      </c>
      <c r="AA10" s="144">
        <f>[8]Recap!$F39</f>
        <v>1.8376745317666986E-2</v>
      </c>
      <c r="AB10" s="144">
        <f>[9]Recap!$F39</f>
        <v>2.1837845378128454E-2</v>
      </c>
      <c r="AC10" s="144">
        <f>[10]Recap!$F39</f>
        <v>2.3585959544210704E-2</v>
      </c>
      <c r="AD10" s="144">
        <f>[11]Recap!$F38</f>
        <v>2.2309092918744913E-2</v>
      </c>
      <c r="AE10" s="144">
        <f>[12]Recap!$F38</f>
        <v>1.2344063662355794E-2</v>
      </c>
      <c r="AF10" s="144">
        <f>[13]Recap!$F38</f>
        <v>2.366969161869939E-2</v>
      </c>
      <c r="AG10" s="144">
        <f>[14]Recap!$F36</f>
        <v>1.3743236089448139E-2</v>
      </c>
      <c r="AH10" s="145">
        <f>[15]Recap!$F36</f>
        <v>1.1976294960373604E-2</v>
      </c>
    </row>
    <row r="11" spans="1:34" s="43" customFormat="1" ht="12.75" x14ac:dyDescent="0.2">
      <c r="A11" s="33">
        <v>2024</v>
      </c>
      <c r="B11" s="142">
        <f>[1]Recap!$C17</f>
        <v>571.08263381964969</v>
      </c>
      <c r="C11" s="142">
        <f>[2]Recap!$C17</f>
        <v>647.48526113045932</v>
      </c>
      <c r="D11" s="142">
        <f>[3]Recap!$C17</f>
        <v>415.49301992687754</v>
      </c>
      <c r="E11" s="142">
        <f>[4]Recap!$C17</f>
        <v>468.284141479391</v>
      </c>
      <c r="F11" s="142">
        <f>[5]Recap!$C17</f>
        <v>910.76035018812706</v>
      </c>
      <c r="G11" s="142">
        <f>[6]Recap!$C17</f>
        <v>909.96438741406189</v>
      </c>
      <c r="H11" s="142">
        <f>[7]Recap!$C17</f>
        <v>1219.6461589622547</v>
      </c>
      <c r="I11" s="142">
        <f>[8]Recap!$C16</f>
        <v>500.73912321903481</v>
      </c>
      <c r="J11" s="142">
        <f>[9]Recap!$C16</f>
        <v>531.40652587054456</v>
      </c>
      <c r="K11" s="142">
        <f>[10]Recap!$C16</f>
        <v>615.75967399965816</v>
      </c>
      <c r="L11" s="142">
        <f>[11]Recap!$C15</f>
        <v>1841.9223922147055</v>
      </c>
      <c r="M11" s="142">
        <f>[12]Recap!$C15</f>
        <v>1299.5786802351888</v>
      </c>
      <c r="N11" s="142">
        <f>[13]Recap!$C15</f>
        <v>1006.9019532841635</v>
      </c>
      <c r="O11" s="142">
        <f>[14]Recap!$C13</f>
        <v>1242.895419387856</v>
      </c>
      <c r="P11" s="143">
        <f>[15]Recap!$C13</f>
        <v>302.97558192057153</v>
      </c>
      <c r="Q11" s="142">
        <f t="shared" si="0"/>
        <v>12484.895303052543</v>
      </c>
      <c r="S11" s="33">
        <v>2024</v>
      </c>
      <c r="T11" s="144">
        <f>[1]Recap!$F41</f>
        <v>7.7895607355047067E-2</v>
      </c>
      <c r="U11" s="144">
        <f>[2]Recap!$F41</f>
        <v>5.7850514796473532E-2</v>
      </c>
      <c r="V11" s="144">
        <f>[3]Recap!$F41</f>
        <v>3.637626212528762E-2</v>
      </c>
      <c r="W11" s="144">
        <f>[4]Recap!$F41</f>
        <v>4.0922005310600626E-2</v>
      </c>
      <c r="X11" s="144">
        <f>[5]Recap!$F41</f>
        <v>9.3928780168191811E-2</v>
      </c>
      <c r="Y11" s="144">
        <f>[6]Recap!$F41</f>
        <v>8.4153423024671603E-2</v>
      </c>
      <c r="Z11" s="144">
        <f>[7]Recap!$F41</f>
        <v>0.12075271244722492</v>
      </c>
      <c r="AA11" s="144">
        <f>[8]Recap!$F40</f>
        <v>4.3333723043755094E-2</v>
      </c>
      <c r="AB11" s="144">
        <f>[9]Recap!$F40</f>
        <v>4.5406335741412854E-2</v>
      </c>
      <c r="AC11" s="144">
        <f>[10]Recap!$F40</f>
        <v>5.2260997895287709E-2</v>
      </c>
      <c r="AD11" s="144">
        <f>[11]Recap!$F39</f>
        <v>3.8275614587861329E-2</v>
      </c>
      <c r="AE11" s="144">
        <f>[12]Recap!$F39</f>
        <v>2.7520894792611619E-2</v>
      </c>
      <c r="AF11" s="144">
        <f>[13]Recap!$F39</f>
        <v>2.2964584288988229E-2</v>
      </c>
      <c r="AG11" s="144">
        <f>[14]Recap!$F37</f>
        <v>2.6557823643388961E-2</v>
      </c>
      <c r="AH11" s="145">
        <f>[15]Recap!$F37</f>
        <v>2.6712481402968186E-2</v>
      </c>
    </row>
    <row r="12" spans="1:34" s="43" customFormat="1" ht="12.75" x14ac:dyDescent="0.2">
      <c r="A12" s="33">
        <v>2025</v>
      </c>
      <c r="B12" s="142">
        <f>[1]Recap!$C18</f>
        <v>374.16679456507927</v>
      </c>
      <c r="C12" s="142">
        <f>[2]Recap!$C18</f>
        <v>408.39185501652656</v>
      </c>
      <c r="D12" s="142">
        <f>[3]Recap!$C18</f>
        <v>264.21598884681856</v>
      </c>
      <c r="E12" s="142">
        <f>[4]Recap!$C18</f>
        <v>288.26934543682796</v>
      </c>
      <c r="F12" s="142">
        <f>[5]Recap!$C18</f>
        <v>575.06993969549376</v>
      </c>
      <c r="G12" s="142">
        <f>[6]Recap!$C18</f>
        <v>586.82238118868793</v>
      </c>
      <c r="H12" s="142">
        <f>[7]Recap!$C18</f>
        <v>791.30247655063465</v>
      </c>
      <c r="I12" s="142">
        <f>[8]Recap!$C17</f>
        <v>316.03396228999594</v>
      </c>
      <c r="J12" s="142">
        <f>[9]Recap!$C17</f>
        <v>337.52397436493413</v>
      </c>
      <c r="K12" s="142">
        <f>[10]Recap!$C17</f>
        <v>392.33632932715011</v>
      </c>
      <c r="L12" s="142">
        <f>[11]Recap!$C16</f>
        <v>1171.5118127707594</v>
      </c>
      <c r="M12" s="142">
        <f>[12]Recap!$C16</f>
        <v>793.07904989802853</v>
      </c>
      <c r="N12" s="142">
        <f>[13]Recap!$C16</f>
        <v>704.7323289454722</v>
      </c>
      <c r="O12" s="142">
        <f>[14]Recap!$C14</f>
        <v>700.05340767756888</v>
      </c>
      <c r="P12" s="143">
        <f>[15]Recap!$C14</f>
        <v>161.01020268732336</v>
      </c>
      <c r="Q12" s="142">
        <f t="shared" si="0"/>
        <v>7864.5198492613026</v>
      </c>
      <c r="S12" s="33">
        <v>2025</v>
      </c>
      <c r="T12" s="144">
        <f>[1]Recap!$F42</f>
        <v>4.9471941399917375E-2</v>
      </c>
      <c r="U12" s="144">
        <f>[2]Recap!$F42</f>
        <v>3.5636754858129963E-2</v>
      </c>
      <c r="V12" s="144">
        <f>[3]Recap!$F42</f>
        <v>2.2842047348320536E-2</v>
      </c>
      <c r="W12" s="144">
        <f>[4]Recap!$F42</f>
        <v>2.4818485561223499E-2</v>
      </c>
      <c r="X12" s="144">
        <f>[5]Recap!$F42</f>
        <v>5.7730037587451377E-2</v>
      </c>
      <c r="Y12" s="144">
        <f>[6]Recap!$F42</f>
        <v>5.2662077318016996E-2</v>
      </c>
      <c r="Z12" s="144">
        <f>[7]Recap!$F42</f>
        <v>7.3735246552202399E-2</v>
      </c>
      <c r="AA12" s="144">
        <f>[8]Recap!$F41</f>
        <v>2.7033855554054825E-2</v>
      </c>
      <c r="AB12" s="144">
        <f>[9]Recap!$F41</f>
        <v>2.8413727197449987E-2</v>
      </c>
      <c r="AC12" s="144">
        <f>[10]Recap!$F41</f>
        <v>3.2715516776365028E-2</v>
      </c>
      <c r="AD12" s="144">
        <f>[11]Recap!$F40</f>
        <v>2.4039226609036984E-2</v>
      </c>
      <c r="AE12" s="144">
        <f>[12]Recap!$F40</f>
        <v>1.663913218482611E-2</v>
      </c>
      <c r="AF12" s="144">
        <f>[13]Recap!$F40</f>
        <v>1.5986356688909072E-2</v>
      </c>
      <c r="AG12" s="144">
        <f>[14]Recap!$F38</f>
        <v>1.4807391371397223E-2</v>
      </c>
      <c r="AH12" s="145">
        <f>[15]Recap!$F38</f>
        <v>1.4039508748310201E-2</v>
      </c>
    </row>
    <row r="13" spans="1:34" s="43" customFormat="1" ht="12.75" x14ac:dyDescent="0.2">
      <c r="A13" s="33">
        <v>2026</v>
      </c>
      <c r="B13" s="142">
        <f>[1]Recap!$C19</f>
        <v>565.7175274781996</v>
      </c>
      <c r="C13" s="142">
        <f>[2]Recap!$C19</f>
        <v>638.25774180601832</v>
      </c>
      <c r="D13" s="142">
        <f>[3]Recap!$C19</f>
        <v>408.38697463730296</v>
      </c>
      <c r="E13" s="142">
        <f>[4]Recap!$C19</f>
        <v>460.13841736638472</v>
      </c>
      <c r="F13" s="142">
        <f>[5]Recap!$C19</f>
        <v>879.50440024468912</v>
      </c>
      <c r="G13" s="142">
        <f>[6]Recap!$C19</f>
        <v>894.34241945902329</v>
      </c>
      <c r="H13" s="142">
        <f>[7]Recap!$C19</f>
        <v>1232.1892462234857</v>
      </c>
      <c r="I13" s="142">
        <f>[8]Recap!$C18</f>
        <v>495.76342513423862</v>
      </c>
      <c r="J13" s="142">
        <f>[9]Recap!$C18</f>
        <v>523.75494363658675</v>
      </c>
      <c r="K13" s="142">
        <f>[10]Recap!$C18</f>
        <v>606.11315761875767</v>
      </c>
      <c r="L13" s="142">
        <f>[11]Recap!$C17</f>
        <v>1818.5593919884132</v>
      </c>
      <c r="M13" s="142">
        <f>[12]Recap!$C17</f>
        <v>1282.5457851730516</v>
      </c>
      <c r="N13" s="142">
        <f>[13]Recap!$C17</f>
        <v>999.04350413043267</v>
      </c>
      <c r="O13" s="142">
        <f>[14]Recap!$C15</f>
        <v>1228.0693128812702</v>
      </c>
      <c r="P13" s="143">
        <f>[15]Recap!$C15</f>
        <v>299.30398144696915</v>
      </c>
      <c r="Q13" s="142">
        <f t="shared" si="0"/>
        <v>12331.690229224821</v>
      </c>
      <c r="S13" s="33">
        <v>2026</v>
      </c>
      <c r="T13" s="144">
        <f>[1]Recap!$F43</f>
        <v>7.6636164370971746E-2</v>
      </c>
      <c r="U13" s="144">
        <f>[2]Recap!$F43</f>
        <v>5.6916892704121584E-2</v>
      </c>
      <c r="V13" s="144">
        <f>[3]Recap!$F43</f>
        <v>3.5786983701535963E-2</v>
      </c>
      <c r="W13" s="144">
        <f>[4]Recap!$F43</f>
        <v>4.0257607275598538E-2</v>
      </c>
      <c r="X13" s="144">
        <f>[5]Recap!$F43</f>
        <v>9.2243095076730952E-2</v>
      </c>
      <c r="Y13" s="144">
        <f>[6]Recap!$F43</f>
        <v>8.2713473070339952E-2</v>
      </c>
      <c r="Z13" s="144">
        <f>[7]Recap!$F43</f>
        <v>0.11865727350124002</v>
      </c>
      <c r="AA13" s="144">
        <f>[8]Recap!$F42</f>
        <v>4.2782836132272767E-2</v>
      </c>
      <c r="AB13" s="144">
        <f>[9]Recap!$F42</f>
        <v>4.4773187674224085E-2</v>
      </c>
      <c r="AC13" s="144">
        <f>[10]Recap!$F42</f>
        <v>5.1516786664731362E-2</v>
      </c>
      <c r="AD13" s="144">
        <f>[11]Recap!$F41</f>
        <v>3.7843613704118303E-2</v>
      </c>
      <c r="AE13" s="144">
        <f>[12]Recap!$F41</f>
        <v>2.7210180932996045E-2</v>
      </c>
      <c r="AF13" s="144">
        <f>[13]Recap!$F41</f>
        <v>2.2821054589036615E-2</v>
      </c>
      <c r="AG13" s="144">
        <f>[14]Recap!$F39</f>
        <v>2.6282481508033619E-2</v>
      </c>
      <c r="AH13" s="145">
        <f>[15]Recap!$F39</f>
        <v>2.6436555295943336E-2</v>
      </c>
    </row>
    <row r="14" spans="1:34" s="43" customFormat="1" ht="12.75" x14ac:dyDescent="0.2">
      <c r="A14" s="33">
        <v>2027</v>
      </c>
      <c r="B14" s="142">
        <f>[1]Recap!$C20</f>
        <v>369.64977008134849</v>
      </c>
      <c r="C14" s="142">
        <f>[2]Recap!$C20</f>
        <v>402.03111370244318</v>
      </c>
      <c r="D14" s="142">
        <f>[3]Recap!$C20</f>
        <v>259.91815146638191</v>
      </c>
      <c r="E14" s="142">
        <f>[4]Recap!$C20</f>
        <v>283.57036372810734</v>
      </c>
      <c r="F14" s="142">
        <f>[5]Recap!$C20</f>
        <v>554.10633121209855</v>
      </c>
      <c r="G14" s="142">
        <f>[6]Recap!$C20</f>
        <v>576.97667071626347</v>
      </c>
      <c r="H14" s="142">
        <f>[7]Recap!$C20</f>
        <v>791.31026188099145</v>
      </c>
      <c r="I14" s="142">
        <f>[8]Recap!$C19</f>
        <v>315.89404861737705</v>
      </c>
      <c r="J14" s="142">
        <f>[9]Recap!$C19</f>
        <v>333.51525537009707</v>
      </c>
      <c r="K14" s="142">
        <f>[10]Recap!$C19</f>
        <v>386.77209160160123</v>
      </c>
      <c r="L14" s="142">
        <f>[11]Recap!$C18</f>
        <v>1158.1715210523914</v>
      </c>
      <c r="M14" s="142">
        <f>[12]Recap!$C18</f>
        <v>784.15196562428696</v>
      </c>
      <c r="N14" s="142">
        <f>[13]Recap!$C18</f>
        <v>700.28111469899613</v>
      </c>
      <c r="O14" s="142">
        <f>[14]Recap!$C16</f>
        <v>692.34385436268792</v>
      </c>
      <c r="P14" s="146">
        <f>[15]Recap!$C16</f>
        <v>159.11532827110312</v>
      </c>
      <c r="Q14" s="142">
        <f t="shared" si="0"/>
        <v>7767.8078423861762</v>
      </c>
      <c r="S14" s="33">
        <v>2027</v>
      </c>
      <c r="T14" s="144">
        <f>[1]Recap!$F44</f>
        <v>4.8833591104046184E-2</v>
      </c>
      <c r="U14" s="144">
        <f>[2]Recap!$F44</f>
        <v>3.5092775357418615E-2</v>
      </c>
      <c r="V14" s="144">
        <f>[3]Recap!$F44</f>
        <v>2.2471625269569737E-2</v>
      </c>
      <c r="W14" s="144">
        <f>[4]Recap!$F44</f>
        <v>2.4413318340037089E-2</v>
      </c>
      <c r="X14" s="144">
        <f>[5]Recap!$F44</f>
        <v>5.6618173077891722E-2</v>
      </c>
      <c r="Y14" s="144">
        <f>[6]Recap!$F44</f>
        <v>5.177160153529043E-2</v>
      </c>
      <c r="Z14" s="144">
        <f>[7]Recap!$F44</f>
        <v>7.320346466236112E-2</v>
      </c>
      <c r="AA14" s="144">
        <f>[8]Recap!$F43</f>
        <v>2.6725612231351746E-2</v>
      </c>
      <c r="AB14" s="144">
        <f>[9]Recap!$F43</f>
        <v>2.8018813264228781E-2</v>
      </c>
      <c r="AC14" s="144">
        <f>[10]Recap!$F43</f>
        <v>3.2247167129502957E-2</v>
      </c>
      <c r="AD14" s="144">
        <f>[11]Recap!$F42</f>
        <v>2.3764322152902508E-2</v>
      </c>
      <c r="AE14" s="144">
        <f>[12]Recap!$F42</f>
        <v>1.6446609666962986E-2</v>
      </c>
      <c r="AF14" s="144">
        <f>[13]Recap!$F42</f>
        <v>1.5884952790679353E-2</v>
      </c>
      <c r="AG14" s="144">
        <f>[14]Recap!$F40</f>
        <v>1.4648528636302931E-2</v>
      </c>
      <c r="AH14" s="147">
        <f>[15]Recap!$F40</f>
        <v>1.3884976078340152E-2</v>
      </c>
    </row>
    <row r="15" spans="1:34" s="150" customFormat="1" x14ac:dyDescent="0.25">
      <c r="A15" s="148" t="s">
        <v>57</v>
      </c>
      <c r="B15" s="149">
        <f>SUM(B5:B14)</f>
        <v>4619.7049194607971</v>
      </c>
      <c r="C15" s="149">
        <f t="shared" ref="C15:P15" si="1">SUM(C5:C14)</f>
        <v>5156.2135662808705</v>
      </c>
      <c r="D15" s="149">
        <f>SUM(D5:D14)</f>
        <v>3139.9202696570569</v>
      </c>
      <c r="E15" s="149">
        <f t="shared" si="1"/>
        <v>3294.5372075977534</v>
      </c>
      <c r="F15" s="149">
        <f t="shared" si="1"/>
        <v>6805.7249508762006</v>
      </c>
      <c r="G15" s="149">
        <f t="shared" si="1"/>
        <v>6852.9210849204001</v>
      </c>
      <c r="H15" s="149">
        <f t="shared" si="1"/>
        <v>8972.6553371434675</v>
      </c>
      <c r="I15" s="149">
        <f t="shared" si="1"/>
        <v>3218.5647405696823</v>
      </c>
      <c r="J15" s="149">
        <f t="shared" si="1"/>
        <v>3766.9288071929832</v>
      </c>
      <c r="K15" s="149">
        <f t="shared" si="1"/>
        <v>4443.1918571991882</v>
      </c>
      <c r="L15" s="149">
        <f t="shared" si="1"/>
        <v>10523.7106109455</v>
      </c>
      <c r="M15" s="149">
        <f t="shared" si="1"/>
        <v>7936.2038182479309</v>
      </c>
      <c r="N15" s="149">
        <f t="shared" si="1"/>
        <v>6944.7784212355964</v>
      </c>
      <c r="O15" s="149">
        <f t="shared" si="1"/>
        <v>5489.5240609404127</v>
      </c>
      <c r="P15" s="149">
        <f t="shared" si="1"/>
        <v>1231.4842895987363</v>
      </c>
      <c r="Q15" s="127">
        <f t="shared" si="0"/>
        <v>82396.063941866581</v>
      </c>
      <c r="S15" s="148" t="s">
        <v>58</v>
      </c>
      <c r="T15" s="151">
        <f>AVERAGE(T5:T14)</f>
        <v>6.3486398059783303E-2</v>
      </c>
      <c r="U15" s="151">
        <f t="shared" ref="U15:AH15" si="2">AVERAGE(U5:U14)</f>
        <v>4.7845967466113887E-2</v>
      </c>
      <c r="V15" s="151">
        <f>AVERAGE(V5:V14)</f>
        <v>2.7972468642452019E-2</v>
      </c>
      <c r="W15" s="151">
        <f t="shared" si="2"/>
        <v>2.9009862569501176E-2</v>
      </c>
      <c r="X15" s="151">
        <f t="shared" si="2"/>
        <v>6.9960161602877186E-2</v>
      </c>
      <c r="Y15" s="151">
        <f t="shared" si="2"/>
        <v>6.4873427865021843E-2</v>
      </c>
      <c r="Z15" s="151">
        <f t="shared" si="2"/>
        <v>8.8647037965732964E-2</v>
      </c>
      <c r="AA15" s="151">
        <f t="shared" si="2"/>
        <v>3.1240584494357879E-2</v>
      </c>
      <c r="AB15" s="151">
        <f t="shared" si="2"/>
        <v>3.6332324092856007E-2</v>
      </c>
      <c r="AC15" s="151">
        <f t="shared" si="2"/>
        <v>4.2656586861492714E-2</v>
      </c>
      <c r="AD15" s="151">
        <f t="shared" si="2"/>
        <v>2.7640982090500654E-2</v>
      </c>
      <c r="AE15" s="151">
        <f t="shared" si="2"/>
        <v>2.1133940147497261E-2</v>
      </c>
      <c r="AF15" s="151">
        <f t="shared" si="2"/>
        <v>2.0221666548098156E-2</v>
      </c>
      <c r="AG15" s="151">
        <f t="shared" si="2"/>
        <v>1.9463593882510111E-2</v>
      </c>
      <c r="AH15" s="151">
        <f t="shared" si="2"/>
        <v>1.7997456026401102E-2</v>
      </c>
    </row>
    <row r="16" spans="1:34" ht="7.5" customHeight="1" x14ac:dyDescent="0.3">
      <c r="A16" s="1"/>
      <c r="S16" s="1"/>
      <c r="AB16" s="125"/>
      <c r="AC16" s="125"/>
    </row>
    <row r="17" spans="1:34" ht="15.75" x14ac:dyDescent="0.25">
      <c r="A17" s="55" t="s">
        <v>59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27"/>
      <c r="S17" s="55" t="s">
        <v>59</v>
      </c>
      <c r="T17" s="6"/>
      <c r="U17" s="6"/>
      <c r="V17" s="6"/>
      <c r="W17" s="6"/>
      <c r="X17" s="6"/>
      <c r="Y17" s="6"/>
      <c r="Z17" s="6"/>
      <c r="AB17" s="125"/>
      <c r="AC17" s="125"/>
    </row>
    <row r="18" spans="1:34" s="15" customFormat="1" ht="33.75" x14ac:dyDescent="0.2">
      <c r="A18" s="88" t="s">
        <v>4</v>
      </c>
      <c r="B18" s="12" t="s">
        <v>5</v>
      </c>
      <c r="C18" s="12" t="s">
        <v>6</v>
      </c>
      <c r="D18" s="12" t="s">
        <v>7</v>
      </c>
      <c r="E18" s="12" t="s">
        <v>8</v>
      </c>
      <c r="F18" s="12" t="s">
        <v>9</v>
      </c>
      <c r="G18" s="12" t="s">
        <v>10</v>
      </c>
      <c r="H18" s="12" t="s">
        <v>11</v>
      </c>
      <c r="I18" s="12" t="s">
        <v>12</v>
      </c>
      <c r="J18" s="12" t="s">
        <v>13</v>
      </c>
      <c r="K18" s="12" t="s">
        <v>14</v>
      </c>
      <c r="L18" s="12" t="s">
        <v>15</v>
      </c>
      <c r="M18" s="12" t="s">
        <v>16</v>
      </c>
      <c r="N18" s="12" t="s">
        <v>17</v>
      </c>
      <c r="O18" s="12" t="s">
        <v>18</v>
      </c>
      <c r="P18" s="12" t="s">
        <v>19</v>
      </c>
      <c r="Q18" s="128" t="s">
        <v>56</v>
      </c>
      <c r="S18" s="11" t="s">
        <v>4</v>
      </c>
      <c r="T18" s="12" t="s">
        <v>5</v>
      </c>
      <c r="U18" s="12" t="s">
        <v>6</v>
      </c>
      <c r="V18" s="12" t="s">
        <v>7</v>
      </c>
      <c r="W18" s="12" t="s">
        <v>8</v>
      </c>
      <c r="X18" s="12" t="s">
        <v>9</v>
      </c>
      <c r="Y18" s="12" t="s">
        <v>10</v>
      </c>
      <c r="Z18" s="12" t="s">
        <v>11</v>
      </c>
      <c r="AA18" s="129" t="s">
        <v>12</v>
      </c>
      <c r="AB18" s="12" t="s">
        <v>13</v>
      </c>
      <c r="AC18" s="12" t="s">
        <v>14</v>
      </c>
      <c r="AD18" s="129" t="s">
        <v>15</v>
      </c>
      <c r="AE18" s="129" t="s">
        <v>16</v>
      </c>
      <c r="AF18" s="129" t="s">
        <v>17</v>
      </c>
      <c r="AG18" s="12" t="s">
        <v>18</v>
      </c>
      <c r="AH18" s="12" t="s">
        <v>19</v>
      </c>
    </row>
    <row r="19" spans="1:34" s="68" customFormat="1" ht="12.75" x14ac:dyDescent="0.2">
      <c r="A19" s="16">
        <v>2018</v>
      </c>
      <c r="B19" s="152">
        <f>[1]Recap!$D11</f>
        <v>5.6326408194618862</v>
      </c>
      <c r="C19" s="152">
        <f>[2]Recap!$D11</f>
        <v>1.6747213134869068</v>
      </c>
      <c r="D19" s="152">
        <f>[3]Recap!$D11</f>
        <v>0.21713339725458305</v>
      </c>
      <c r="E19" s="152">
        <f>[4]Recap!$D11</f>
        <v>6.5772109419627092E-2</v>
      </c>
      <c r="F19" s="152">
        <f>[5]Recap!$D11</f>
        <v>14.510032535976114</v>
      </c>
      <c r="G19" s="152">
        <f>[6]Recap!$D11</f>
        <v>0.29159888076333462</v>
      </c>
      <c r="H19" s="152">
        <f>[7]Recap!$D11</f>
        <v>4.7353371617019926</v>
      </c>
      <c r="I19" s="152"/>
      <c r="J19" s="152"/>
      <c r="K19" s="152"/>
      <c r="L19" s="152"/>
      <c r="M19" s="152"/>
      <c r="N19" s="152"/>
      <c r="O19" s="152"/>
      <c r="P19" s="153"/>
      <c r="Q19" s="127">
        <f t="shared" ref="Q19:Q29" si="3">SUM(B19:P19)</f>
        <v>27.127236218064443</v>
      </c>
      <c r="S19" s="16">
        <v>2018</v>
      </c>
      <c r="T19" s="154">
        <f>[1]Recap!$G35</f>
        <v>1.2194431717577506E-3</v>
      </c>
      <c r="U19" s="154">
        <f>[2]Recap!$G35</f>
        <v>2.9037155300816318E-4</v>
      </c>
      <c r="V19" s="154">
        <f>[3]Recap!$G35</f>
        <v>4.9278672711253576E-5</v>
      </c>
      <c r="W19" s="154">
        <f>[4]Recap!$G35</f>
        <v>1.4124309609182243E-5</v>
      </c>
      <c r="X19" s="154">
        <f>[5]Recap!$G35</f>
        <v>5.6741248073261946E-3</v>
      </c>
      <c r="Y19" s="154">
        <f>[6]Recap!$G35</f>
        <v>2.0719346269517224E-4</v>
      </c>
      <c r="Z19" s="154">
        <f>[7]Recap!$G35</f>
        <v>3.3864388474925816E-3</v>
      </c>
      <c r="AA19" s="154"/>
      <c r="AB19" s="154"/>
      <c r="AC19" s="154"/>
      <c r="AD19" s="154"/>
      <c r="AE19" s="154"/>
      <c r="AF19" s="154"/>
      <c r="AG19" s="154"/>
      <c r="AH19" s="155"/>
    </row>
    <row r="20" spans="1:34" s="68" customFormat="1" ht="12.75" x14ac:dyDescent="0.2">
      <c r="A20" s="16">
        <v>2019</v>
      </c>
      <c r="B20" s="152">
        <f>[1]Recap!$D12</f>
        <v>12.090446238296549</v>
      </c>
      <c r="C20" s="152">
        <f>[2]Recap!$D12</f>
        <v>6.4202606135542934</v>
      </c>
      <c r="D20" s="152">
        <f>[3]Recap!$D12</f>
        <v>1.0249109382217445</v>
      </c>
      <c r="E20" s="152">
        <f>[4]Recap!$D12</f>
        <v>0.25578101805789927</v>
      </c>
      <c r="F20" s="152">
        <f>[5]Recap!$D12</f>
        <v>53.007798701651765</v>
      </c>
      <c r="G20" s="152">
        <f>[6]Recap!$D12</f>
        <v>1.617449027860302</v>
      </c>
      <c r="H20" s="152">
        <f>[7]Recap!$D12</f>
        <v>20.962438019564079</v>
      </c>
      <c r="I20" s="152">
        <f>[8]Recap!$D11</f>
        <v>3.2119337313975511</v>
      </c>
      <c r="J20" s="152">
        <f>[9]Recap!$D11</f>
        <v>0.60385858000374271</v>
      </c>
      <c r="K20" s="152">
        <f>[10]Recap!$D11</f>
        <v>3.4087965084989458E-2</v>
      </c>
      <c r="L20" s="152"/>
      <c r="M20" s="152"/>
      <c r="N20" s="152"/>
      <c r="O20" s="152"/>
      <c r="P20" s="156"/>
      <c r="Q20" s="127">
        <f t="shared" si="3"/>
        <v>99.228964833692913</v>
      </c>
      <c r="S20" s="16">
        <v>2019</v>
      </c>
      <c r="T20" s="154">
        <f>[1]Recap!$G36</f>
        <v>1.5022125683998605E-3</v>
      </c>
      <c r="U20" s="154">
        <f>[2]Recap!$G36</f>
        <v>5.4181857619343932E-4</v>
      </c>
      <c r="V20" s="154">
        <f>[3]Recap!$G36</f>
        <v>8.5633961257515763E-5</v>
      </c>
      <c r="W20" s="154">
        <f>[4]Recap!$G36</f>
        <v>2.1072123509646572E-5</v>
      </c>
      <c r="X20" s="154">
        <f>[5]Recap!$G36</f>
        <v>4.7780923933976498E-3</v>
      </c>
      <c r="Y20" s="154">
        <f>[6]Recap!$G36</f>
        <v>1.3988011857535033E-4</v>
      </c>
      <c r="Z20" s="154">
        <f>[7]Recap!$G36</f>
        <v>1.8037632055679191E-3</v>
      </c>
      <c r="AA20" s="154">
        <f>[8]Recap!$G35</f>
        <v>3.1453563875371454E-4</v>
      </c>
      <c r="AB20" s="154">
        <f>[9]Recap!$G35</f>
        <v>5.7762563325848303E-5</v>
      </c>
      <c r="AC20" s="154">
        <f>[10]Recap!$G35</f>
        <v>3.2233820691782102E-6</v>
      </c>
      <c r="AD20" s="154"/>
      <c r="AE20" s="154"/>
      <c r="AF20" s="154"/>
      <c r="AG20" s="154"/>
      <c r="AH20" s="157"/>
    </row>
    <row r="21" spans="1:34" s="68" customFormat="1" ht="12.75" x14ac:dyDescent="0.2">
      <c r="A21" s="16">
        <v>2020</v>
      </c>
      <c r="B21" s="152">
        <f>[1]Recap!$D13</f>
        <v>21.143298543434643</v>
      </c>
      <c r="C21" s="152">
        <f>[2]Recap!$D13</f>
        <v>9.6003169398723021</v>
      </c>
      <c r="D21" s="152">
        <f>[3]Recap!$D13</f>
        <v>1.6939645180345639</v>
      </c>
      <c r="E21" s="152">
        <f>[4]Recap!$D13</f>
        <v>0.45840007211875244</v>
      </c>
      <c r="F21" s="152">
        <f>[5]Recap!$D13</f>
        <v>16.873442787422082</v>
      </c>
      <c r="G21" s="152">
        <f>[6]Recap!$D13</f>
        <v>2.7814559108141137</v>
      </c>
      <c r="H21" s="152">
        <f>[7]Recap!$D13</f>
        <v>42.716885176540714</v>
      </c>
      <c r="I21" s="152">
        <f>[8]Recap!$D12</f>
        <v>13.216261839278481</v>
      </c>
      <c r="J21" s="152">
        <f>[9]Recap!$D12</f>
        <v>2.2236812290549581</v>
      </c>
      <c r="K21" s="152">
        <f>[10]Recap!$D12</f>
        <v>9.5251793757527042E-2</v>
      </c>
      <c r="L21" s="152">
        <f>[11]Recap!$D11</f>
        <v>0.15389190729034352</v>
      </c>
      <c r="M21" s="152">
        <f>[12]Recap!$D11</f>
        <v>1.0861861353598061</v>
      </c>
      <c r="N21" s="152">
        <f>[13]Recap!$D11</f>
        <v>5.7103632068970088E-2</v>
      </c>
      <c r="O21" s="152"/>
      <c r="P21" s="156"/>
      <c r="Q21" s="127">
        <f t="shared" si="3"/>
        <v>112.10014048504728</v>
      </c>
      <c r="S21" s="16">
        <v>2020</v>
      </c>
      <c r="T21" s="154">
        <f>[1]Recap!$G37</f>
        <v>2.6665912239027963E-3</v>
      </c>
      <c r="U21" s="154">
        <f>[2]Recap!$G37</f>
        <v>8.2999836663269315E-4</v>
      </c>
      <c r="V21" s="154">
        <f>[3]Recap!$G37</f>
        <v>1.4375491578859137E-4</v>
      </c>
      <c r="W21" s="154">
        <f>[4]Recap!$G37</f>
        <v>3.8484404403528296E-5</v>
      </c>
      <c r="X21" s="154">
        <f>[5]Recap!$G37</f>
        <v>1.5426454339860583E-3</v>
      </c>
      <c r="Y21" s="154">
        <f>[6]Recap!$G37</f>
        <v>2.4097873419266335E-4</v>
      </c>
      <c r="Z21" s="154">
        <f>[7]Recap!$G37</f>
        <v>3.7777841407905031E-3</v>
      </c>
      <c r="AA21" s="154">
        <f>[8]Recap!$G36</f>
        <v>1.1202264653585653E-3</v>
      </c>
      <c r="AB21" s="154">
        <f>[9]Recap!$G36</f>
        <v>1.859496458260074E-4</v>
      </c>
      <c r="AC21" s="154">
        <f>[10]Recap!$G36</f>
        <v>7.8509157431903034E-6</v>
      </c>
      <c r="AD21" s="154">
        <f>[11]Recap!$G35</f>
        <v>3.2441714541030566E-6</v>
      </c>
      <c r="AE21" s="154">
        <f>[12]Recap!$G35</f>
        <v>2.3083285137382363E-5</v>
      </c>
      <c r="AF21" s="154">
        <f>[13]Recap!$G35</f>
        <v>2.2039383238643967E-6</v>
      </c>
      <c r="AG21" s="154"/>
      <c r="AH21" s="157"/>
    </row>
    <row r="22" spans="1:34" s="68" customFormat="1" ht="12.75" x14ac:dyDescent="0.2">
      <c r="A22" s="16">
        <v>2021</v>
      </c>
      <c r="B22" s="152">
        <f>[1]Recap!$D14</f>
        <v>25.362680897145037</v>
      </c>
      <c r="C22" s="152">
        <f>[2]Recap!$D14</f>
        <v>13.835903972977185</v>
      </c>
      <c r="D22" s="152">
        <f>[3]Recap!$D14</f>
        <v>2.2191368537490663</v>
      </c>
      <c r="E22" s="152">
        <f>[4]Recap!$D14</f>
        <v>0.65631323847225664</v>
      </c>
      <c r="F22" s="152">
        <f>[5]Recap!$D14</f>
        <v>49.682596384895881</v>
      </c>
      <c r="G22" s="152">
        <f>[6]Recap!$D14</f>
        <v>4.2146380529732044</v>
      </c>
      <c r="H22" s="152">
        <f>[7]Recap!$D14</f>
        <v>70.870907418280993</v>
      </c>
      <c r="I22" s="152">
        <f>[8]Recap!$D13</f>
        <v>21.123916244870063</v>
      </c>
      <c r="J22" s="152">
        <f>[9]Recap!$D13</f>
        <v>4.0582267976677597</v>
      </c>
      <c r="K22" s="152">
        <f>[10]Recap!$D13</f>
        <v>0.23705846887630638</v>
      </c>
      <c r="L22" s="152">
        <f>[11]Recap!$D12</f>
        <v>0.34106164481600015</v>
      </c>
      <c r="M22" s="152">
        <f>[12]Recap!$D12</f>
        <v>3.5022140354915745</v>
      </c>
      <c r="N22" s="152">
        <f>[13]Recap!$D12</f>
        <v>0.17284296914645852</v>
      </c>
      <c r="O22" s="152"/>
      <c r="P22" s="156"/>
      <c r="Q22" s="127">
        <f t="shared" si="3"/>
        <v>196.27749697936179</v>
      </c>
      <c r="S22" s="16">
        <v>2021</v>
      </c>
      <c r="T22" s="154">
        <f>[1]Recap!$G38</f>
        <v>3.3108722293765328E-3</v>
      </c>
      <c r="U22" s="154">
        <f>[2]Recap!$G38</f>
        <v>1.1918587898579105E-3</v>
      </c>
      <c r="V22" s="154">
        <f>[3]Recap!$G38</f>
        <v>1.9327389647250901E-4</v>
      </c>
      <c r="W22" s="154">
        <f>[4]Recap!$G38</f>
        <v>5.6181638145550227E-5</v>
      </c>
      <c r="X22" s="154">
        <f>[5]Recap!$G38</f>
        <v>4.6435403792517167E-3</v>
      </c>
      <c r="Y22" s="154">
        <f>[6]Recap!$G38</f>
        <v>3.7640090516053489E-4</v>
      </c>
      <c r="Z22" s="154">
        <f>[7]Recap!$G38</f>
        <v>6.4286789525572511E-3</v>
      </c>
      <c r="AA22" s="154">
        <f>[8]Recap!$G37</f>
        <v>1.8474161716085652E-3</v>
      </c>
      <c r="AB22" s="154">
        <f>[9]Recap!$G37</f>
        <v>3.4619307806434271E-4</v>
      </c>
      <c r="AC22" s="154">
        <f>[10]Recap!$G37</f>
        <v>1.9920389519697197E-5</v>
      </c>
      <c r="AD22" s="154">
        <f>[11]Recap!$G36</f>
        <v>7.5645239029497592E-6</v>
      </c>
      <c r="AE22" s="154">
        <f>[12]Recap!$G36</f>
        <v>7.4168890911800007E-5</v>
      </c>
      <c r="AF22" s="154">
        <f>[13]Recap!$G36</f>
        <v>3.9923631305330141E-6</v>
      </c>
      <c r="AG22" s="154"/>
      <c r="AH22" s="157"/>
    </row>
    <row r="23" spans="1:34" s="80" customFormat="1" ht="12.75" x14ac:dyDescent="0.2">
      <c r="A23" s="158">
        <v>2022</v>
      </c>
      <c r="B23" s="159">
        <f>[1]Recap!$D15</f>
        <v>34.696300770530115</v>
      </c>
      <c r="C23" s="159">
        <f>[2]Recap!$D15</f>
        <v>20.218995020307105</v>
      </c>
      <c r="D23" s="159">
        <f>[3]Recap!$D15</f>
        <v>3.1671333457043644</v>
      </c>
      <c r="E23" s="159">
        <f>[4]Recap!$D15</f>
        <v>1.0086186289503065</v>
      </c>
      <c r="F23" s="159">
        <f>[5]Recap!$D15</f>
        <v>18.863807461834444</v>
      </c>
      <c r="G23" s="159">
        <f>[6]Recap!$D15</f>
        <v>5.7501134260136242</v>
      </c>
      <c r="H23" s="159">
        <f>[7]Recap!$D15</f>
        <v>110.83408688654788</v>
      </c>
      <c r="I23" s="159">
        <f>[8]Recap!$D14</f>
        <v>38.290188669361342</v>
      </c>
      <c r="J23" s="159">
        <f>[9]Recap!$D14</f>
        <v>7.0965647444791342</v>
      </c>
      <c r="K23" s="159">
        <f>[10]Recap!$D14</f>
        <v>0.36553857003624107</v>
      </c>
      <c r="L23" s="159">
        <f>[11]Recap!$D13</f>
        <v>0.7023008032562752</v>
      </c>
      <c r="M23" s="159">
        <f>[12]Recap!$D13</f>
        <v>5.9913368073640108</v>
      </c>
      <c r="N23" s="159">
        <f>[13]Recap!$D13</f>
        <v>0.43633800334566664</v>
      </c>
      <c r="O23" s="159">
        <f>[14]Recap!$D11</f>
        <v>1.9670278367604659</v>
      </c>
      <c r="P23" s="160">
        <f>[15]Recap!$D11</f>
        <v>1.4252258981740151</v>
      </c>
      <c r="Q23" s="161">
        <f t="shared" si="3"/>
        <v>250.81357687266498</v>
      </c>
      <c r="S23" s="158">
        <v>2022</v>
      </c>
      <c r="T23" s="162">
        <f>[1]Recap!$G39</f>
        <v>4.3637206482691517E-3</v>
      </c>
      <c r="U23" s="162">
        <f>[2]Recap!$G39</f>
        <v>1.7028019052896266E-3</v>
      </c>
      <c r="V23" s="162">
        <f>[3]Recap!$G39</f>
        <v>2.6741741248463818E-4</v>
      </c>
      <c r="W23" s="162">
        <f>[4]Recap!$G39</f>
        <v>8.4619993581648337E-5</v>
      </c>
      <c r="X23" s="162">
        <f>[5]Recap!$G39</f>
        <v>1.7508403757723176E-3</v>
      </c>
      <c r="Y23" s="162">
        <f>[6]Recap!$G39</f>
        <v>4.8886297070358637E-4</v>
      </c>
      <c r="Z23" s="162">
        <f>[7]Recap!$G39</f>
        <v>9.6013416817634055E-3</v>
      </c>
      <c r="AA23" s="162">
        <f>[8]Recap!$G38</f>
        <v>3.1600389036704536E-3</v>
      </c>
      <c r="AB23" s="162">
        <f>[9]Recap!$G38</f>
        <v>5.7934176781997777E-4</v>
      </c>
      <c r="AC23" s="162">
        <f>[10]Recap!$G38</f>
        <v>2.9469959024322126E-5</v>
      </c>
      <c r="AD23" s="162">
        <f>[11]Recap!$G37</f>
        <v>1.4061788759785723E-5</v>
      </c>
      <c r="AE23" s="162">
        <f>[12]Recap!$G37</f>
        <v>1.2343979656983357E-4</v>
      </c>
      <c r="AF23" s="162">
        <f>[13]Recap!$G37</f>
        <v>9.7389982502581092E-6</v>
      </c>
      <c r="AG23" s="162">
        <f>[14]Recap!$G35</f>
        <v>4.0972298304039836E-5</v>
      </c>
      <c r="AH23" s="163">
        <f>[15]Recap!$G35</f>
        <v>1.224006221423847E-4</v>
      </c>
    </row>
    <row r="24" spans="1:34" s="80" customFormat="1" ht="12.75" x14ac:dyDescent="0.2">
      <c r="A24" s="33">
        <v>2023</v>
      </c>
      <c r="B24" s="142">
        <f>[1]Recap!$D16</f>
        <v>42.390344717203995</v>
      </c>
      <c r="C24" s="142">
        <f>[2]Recap!$D16</f>
        <v>26.348672082943658</v>
      </c>
      <c r="D24" s="142">
        <f>[3]Recap!$D16</f>
        <v>4.0124633108278571</v>
      </c>
      <c r="E24" s="142">
        <f>[4]Recap!$D16</f>
        <v>1.345326818431783</v>
      </c>
      <c r="F24" s="142">
        <f>[5]Recap!$D16</f>
        <v>48.190810496156345</v>
      </c>
      <c r="G24" s="142">
        <f>[6]Recap!$D16</f>
        <v>7.7384946359798352</v>
      </c>
      <c r="H24" s="142">
        <f>[7]Recap!$D16</f>
        <v>167.47347286237272</v>
      </c>
      <c r="I24" s="142">
        <f>[8]Recap!$D15</f>
        <v>55.428089737096585</v>
      </c>
      <c r="J24" s="142">
        <f>[9]Recap!$D15</f>
        <v>10.271114150033224</v>
      </c>
      <c r="K24" s="142">
        <f>[10]Recap!$D15</f>
        <v>0.53980953658037667</v>
      </c>
      <c r="L24" s="142">
        <f>[11]Recap!$D14</f>
        <v>1.0359109593785001</v>
      </c>
      <c r="M24" s="142">
        <f>[12]Recap!$D14</f>
        <v>9.5142087090278356</v>
      </c>
      <c r="N24" s="142">
        <f>[13]Recap!$D14</f>
        <v>0.7965457070913341</v>
      </c>
      <c r="O24" s="142">
        <f>[14]Recap!$D12</f>
        <v>5.4970587276337994</v>
      </c>
      <c r="P24" s="143">
        <f>[15]Recap!$D12</f>
        <v>3.7376268643448003</v>
      </c>
      <c r="Q24" s="142">
        <f t="shared" si="3"/>
        <v>384.31994931510263</v>
      </c>
      <c r="S24" s="33">
        <v>2023</v>
      </c>
      <c r="T24" s="144">
        <f>[1]Recap!$G40</f>
        <v>5.339426430162224E-3</v>
      </c>
      <c r="U24" s="144">
        <f>[2]Recap!$G40</f>
        <v>2.2206766731142917E-3</v>
      </c>
      <c r="V24" s="144">
        <f>[3]Recap!$G40</f>
        <v>3.3882807229071752E-4</v>
      </c>
      <c r="W24" s="144">
        <f>[4]Recap!$G40</f>
        <v>1.1287369257796704E-4</v>
      </c>
      <c r="X24" s="144">
        <f>[5]Recap!$G40</f>
        <v>4.4920497168881874E-3</v>
      </c>
      <c r="Y24" s="144">
        <f>[6]Recap!$G40</f>
        <v>6.5807261814009195E-4</v>
      </c>
      <c r="Z24" s="144">
        <f>[7]Recap!$G40</f>
        <v>1.4610113461197959E-2</v>
      </c>
      <c r="AA24" s="144">
        <f>[8]Recap!$G39</f>
        <v>4.5847544954707425E-3</v>
      </c>
      <c r="AB24" s="144">
        <f>[9]Recap!$G39</f>
        <v>8.3884665192708097E-4</v>
      </c>
      <c r="AC24" s="144">
        <f>[10]Recap!$G39</f>
        <v>4.3520830104187486E-5</v>
      </c>
      <c r="AD24" s="144">
        <f>[11]Recap!$G38</f>
        <v>2.0741696560825668E-5</v>
      </c>
      <c r="AE24" s="144">
        <f>[12]Recap!$G38</f>
        <v>1.9618730877946146E-4</v>
      </c>
      <c r="AF24" s="144">
        <f>[13]Recap!$G38</f>
        <v>1.7778990204241866E-5</v>
      </c>
      <c r="AG24" s="144">
        <f>[14]Recap!$G36</f>
        <v>1.1451440964266458E-4</v>
      </c>
      <c r="AH24" s="145">
        <f>[15]Recap!$G36</f>
        <v>3.2109562978639017E-4</v>
      </c>
    </row>
    <row r="25" spans="1:34" s="80" customFormat="1" ht="12.75" x14ac:dyDescent="0.2">
      <c r="A25" s="33">
        <v>2024</v>
      </c>
      <c r="B25" s="142">
        <f>[1]Recap!$D17</f>
        <v>50.397576753518784</v>
      </c>
      <c r="C25" s="142">
        <f>[2]Recap!$D17</f>
        <v>32.768606441559015</v>
      </c>
      <c r="D25" s="142">
        <f>[3]Recap!$D17</f>
        <v>4.7927693653539576</v>
      </c>
      <c r="E25" s="142">
        <f>[4]Recap!$D17</f>
        <v>1.7931995356714305</v>
      </c>
      <c r="F25" s="142">
        <f>[5]Recap!$D17</f>
        <v>85.441556063095874</v>
      </c>
      <c r="G25" s="142">
        <f>[6]Recap!$D17</f>
        <v>9.3964165314971098</v>
      </c>
      <c r="H25" s="142">
        <f>[7]Recap!$D17</f>
        <v>207.06183496216491</v>
      </c>
      <c r="I25" s="142">
        <f>[8]Recap!$D16</f>
        <v>72.220392957218166</v>
      </c>
      <c r="J25" s="142">
        <f>[9]Recap!$D16</f>
        <v>13.59693274697625</v>
      </c>
      <c r="K25" s="142">
        <f>[10]Recap!$D16</f>
        <v>0.72999304494418937</v>
      </c>
      <c r="L25" s="142">
        <f>[11]Recap!$D15</f>
        <v>1.4388480041399692</v>
      </c>
      <c r="M25" s="142">
        <f>[12]Recap!$D15</f>
        <v>13.87345619165696</v>
      </c>
      <c r="N25" s="142">
        <f>[13]Recap!$D15</f>
        <v>1.6422548937340751</v>
      </c>
      <c r="O25" s="142">
        <f>[14]Recap!$D13</f>
        <v>9.1830071508879563</v>
      </c>
      <c r="P25" s="143">
        <f>[15]Recap!$D13</f>
        <v>6.1305757737645825</v>
      </c>
      <c r="Q25" s="142">
        <f t="shared" si="3"/>
        <v>510.46742041618313</v>
      </c>
      <c r="S25" s="33">
        <v>2024</v>
      </c>
      <c r="T25" s="144">
        <f>[1]Recap!$G41</f>
        <v>6.354164217501952E-3</v>
      </c>
      <c r="U25" s="144">
        <f>[2]Recap!$G41</f>
        <v>2.7601078266958883E-3</v>
      </c>
      <c r="V25" s="144">
        <f>[3]Recap!$G41</f>
        <v>4.041894042149174E-4</v>
      </c>
      <c r="W25" s="144">
        <f>[4]Recap!$G41</f>
        <v>1.5024916106101888E-4</v>
      </c>
      <c r="X25" s="144">
        <f>[5]Recap!$G41</f>
        <v>8.0034931115176722E-3</v>
      </c>
      <c r="Y25" s="144">
        <f>[6]Recap!$G41</f>
        <v>7.9834098280509884E-4</v>
      </c>
      <c r="Z25" s="144">
        <f>[7]Recap!$G41</f>
        <v>1.8190949095962177E-2</v>
      </c>
      <c r="AA25" s="144">
        <f>[8]Recap!$G40</f>
        <v>5.9806573947937423E-3</v>
      </c>
      <c r="AB25" s="144">
        <f>[9]Recap!$G40</f>
        <v>1.1094643159716569E-3</v>
      </c>
      <c r="AC25" s="144">
        <f>[10]Recap!$G40</f>
        <v>5.876664456906731E-5</v>
      </c>
      <c r="AD25" s="144">
        <f>[11]Recap!$G39</f>
        <v>2.8769770341191598E-5</v>
      </c>
      <c r="AE25" s="144">
        <f>[12]Recap!$G39</f>
        <v>2.8571747747794282E-4</v>
      </c>
      <c r="AF25" s="144">
        <f>[13]Recap!$G39</f>
        <v>3.660355699725427E-5</v>
      </c>
      <c r="AG25" s="144">
        <f>[14]Recap!$G37</f>
        <v>1.910722334064469E-4</v>
      </c>
      <c r="AH25" s="145">
        <f>[15]Recap!$G37</f>
        <v>5.2627340919762084E-4</v>
      </c>
    </row>
    <row r="26" spans="1:34" s="80" customFormat="1" ht="12.75" x14ac:dyDescent="0.2">
      <c r="A26" s="33">
        <v>2025</v>
      </c>
      <c r="B26" s="142">
        <f>[1]Recap!$D18</f>
        <v>31.364395858997668</v>
      </c>
      <c r="C26" s="142">
        <f>[2]Recap!$D18</f>
        <v>7.4832204624184193</v>
      </c>
      <c r="D26" s="142">
        <f>[3]Recap!$D18</f>
        <v>1.1387489467402268</v>
      </c>
      <c r="E26" s="142">
        <f>[4]Recap!$D18</f>
        <v>0.52410322121554764</v>
      </c>
      <c r="F26" s="142">
        <f>[5]Recap!$D18</f>
        <v>135.35183368463075</v>
      </c>
      <c r="G26" s="142">
        <f>[6]Recap!$D18</f>
        <v>3.6819306491189931</v>
      </c>
      <c r="H26" s="142">
        <f>[7]Recap!$D18</f>
        <v>104.04098824862199</v>
      </c>
      <c r="I26" s="142">
        <f>[8]Recap!$D17</f>
        <v>95.272260425764657</v>
      </c>
      <c r="J26" s="142">
        <f>[9]Recap!$D17</f>
        <v>17.589062836515012</v>
      </c>
      <c r="K26" s="142">
        <f>[10]Recap!$D17</f>
        <v>0.95710778207937153</v>
      </c>
      <c r="L26" s="142">
        <f>[11]Recap!$D16</f>
        <v>1.9233595404841799</v>
      </c>
      <c r="M26" s="142">
        <f>[12]Recap!$D16</f>
        <v>19.327459622847972</v>
      </c>
      <c r="N26" s="142">
        <f>[13]Recap!$D16</f>
        <v>2.8332949153623157</v>
      </c>
      <c r="O26" s="142">
        <f>[14]Recap!$D14</f>
        <v>13.166986941061344</v>
      </c>
      <c r="P26" s="143">
        <f>[15]Recap!$D14</f>
        <v>8.5784367557273011</v>
      </c>
      <c r="Q26" s="142">
        <f t="shared" si="3"/>
        <v>443.23318989158571</v>
      </c>
      <c r="S26" s="33">
        <v>2025</v>
      </c>
      <c r="T26" s="144">
        <f>[1]Recap!$G42</f>
        <v>3.9404776406620958E-3</v>
      </c>
      <c r="U26" s="144">
        <f>[2]Recap!$G42</f>
        <v>6.2925899925284372E-4</v>
      </c>
      <c r="V26" s="144">
        <f>[3]Recap!$G42</f>
        <v>9.6126572889288194E-5</v>
      </c>
      <c r="W26" s="144">
        <f>[4]Recap!$G42</f>
        <v>4.3967970942671872E-5</v>
      </c>
      <c r="X26" s="144">
        <f>[5]Recap!$G42</f>
        <v>1.2786987697968375E-2</v>
      </c>
      <c r="Y26" s="144">
        <f>[6]Recap!$G42</f>
        <v>3.1294336845684651E-4</v>
      </c>
      <c r="Z26" s="144">
        <f>[7]Recap!$G42</f>
        <v>8.9916357541549117E-3</v>
      </c>
      <c r="AA26" s="144">
        <f>[8]Recap!$G41</f>
        <v>7.9255071855151831E-3</v>
      </c>
      <c r="AB26" s="144">
        <f>[9]Recap!$G41</f>
        <v>1.4379529527304002E-3</v>
      </c>
      <c r="AC26" s="144">
        <f>[10]Recap!$G41</f>
        <v>7.7169280826168898E-5</v>
      </c>
      <c r="AD26" s="144">
        <f>[11]Recap!$G40</f>
        <v>3.8511849030245792E-5</v>
      </c>
      <c r="AE26" s="144">
        <f>[12]Recap!$G40</f>
        <v>3.9864774420319713E-4</v>
      </c>
      <c r="AF26" s="144">
        <f>[13]Recap!$G40</f>
        <v>6.324389004597959E-5</v>
      </c>
      <c r="AG26" s="144">
        <f>[14]Recap!$G38</f>
        <v>2.7436362671433349E-4</v>
      </c>
      <c r="AH26" s="145">
        <f>[15]Recap!$G38</f>
        <v>7.3746699675397828E-4</v>
      </c>
    </row>
    <row r="27" spans="1:34" s="80" customFormat="1" ht="12.75" x14ac:dyDescent="0.2">
      <c r="A27" s="33">
        <v>2026</v>
      </c>
      <c r="B27" s="142">
        <f>[1]Recap!$D19</f>
        <v>14.242289101114245</v>
      </c>
      <c r="C27" s="142">
        <f>[2]Recap!$D19</f>
        <v>6.2007474539773337</v>
      </c>
      <c r="D27" s="142">
        <f>[3]Recap!$D19</f>
        <v>0.93778872261942103</v>
      </c>
      <c r="E27" s="142">
        <f>[4]Recap!$D19</f>
        <v>0.2379976954451489</v>
      </c>
      <c r="F27" s="142">
        <f>[5]Recap!$D19</f>
        <v>181.04732945505614</v>
      </c>
      <c r="G27" s="142">
        <f>[6]Recap!$D19</f>
        <v>1.5017363144303828</v>
      </c>
      <c r="H27" s="142">
        <f>[7]Recap!$D19</f>
        <v>21.050438043960295</v>
      </c>
      <c r="I27" s="142">
        <f>[8]Recap!$D18</f>
        <v>41.460311811057494</v>
      </c>
      <c r="J27" s="142">
        <f>[9]Recap!$D18</f>
        <v>6.8534697385830032</v>
      </c>
      <c r="K27" s="142">
        <f>[10]Recap!$D18</f>
        <v>0.44328647731952942</v>
      </c>
      <c r="L27" s="142">
        <f>[11]Recap!$D17</f>
        <v>2.441901383728593</v>
      </c>
      <c r="M27" s="142">
        <f>[12]Recap!$D17</f>
        <v>25.582743665749472</v>
      </c>
      <c r="N27" s="142">
        <f>[13]Recap!$D17</f>
        <v>5.2818110509704832</v>
      </c>
      <c r="O27" s="142">
        <f>[14]Recap!$D15</f>
        <v>17.289044697672882</v>
      </c>
      <c r="P27" s="143">
        <f>[15]Recap!$D15</f>
        <v>11.117045545755152</v>
      </c>
      <c r="Q27" s="142">
        <f t="shared" si="3"/>
        <v>335.68794115743952</v>
      </c>
      <c r="S27" s="33">
        <v>2026</v>
      </c>
      <c r="T27" s="144">
        <f>[1]Recap!$G43</f>
        <v>1.7834390256006845E-3</v>
      </c>
      <c r="U27" s="144">
        <f>[2]Recap!$G43</f>
        <v>5.2129844086873335E-4</v>
      </c>
      <c r="V27" s="144">
        <f>[3]Recap!$G43</f>
        <v>7.9160369566112299E-5</v>
      </c>
      <c r="W27" s="144">
        <f>[4]Recap!$G43</f>
        <v>1.9965247544740128E-5</v>
      </c>
      <c r="X27" s="144">
        <f>[5]Recap!$G43</f>
        <v>1.7247753462244782E-2</v>
      </c>
      <c r="Y27" s="144">
        <f>[6]Recap!$G43</f>
        <v>1.2760091230706926E-4</v>
      </c>
      <c r="Z27" s="144">
        <f>[7]Recap!$G43</f>
        <v>1.7988451702930979E-3</v>
      </c>
      <c r="AA27" s="144">
        <f>[8]Recap!$G42</f>
        <v>3.4235701407005965E-3</v>
      </c>
      <c r="AB27" s="144">
        <f>[9]Recap!$G42</f>
        <v>5.5947908691621E-4</v>
      </c>
      <c r="AC27" s="144">
        <f>[10]Recap!$G42</f>
        <v>3.5738211413232714E-5</v>
      </c>
      <c r="AD27" s="144">
        <f>[11]Recap!$G41</f>
        <v>4.8895575203186004E-5</v>
      </c>
      <c r="AE27" s="144">
        <f>[12]Recap!$G41</f>
        <v>5.2783918132839967E-4</v>
      </c>
      <c r="AF27" s="144">
        <f>[13]Recap!$G41</f>
        <v>1.1790932028233528E-4</v>
      </c>
      <c r="AG27" s="144">
        <f>[14]Recap!$G39</f>
        <v>3.6030808971418166E-4</v>
      </c>
      <c r="AH27" s="145">
        <f>[15]Recap!$G39</f>
        <v>9.5606992636915319E-4</v>
      </c>
    </row>
    <row r="28" spans="1:34" s="80" customFormat="1" ht="12.75" x14ac:dyDescent="0.2">
      <c r="A28" s="33">
        <v>2027</v>
      </c>
      <c r="B28" s="142">
        <f>[1]Recap!$D20</f>
        <v>24.992922501488536</v>
      </c>
      <c r="C28" s="142">
        <f>[2]Recap!$D20</f>
        <v>10.484822459111561</v>
      </c>
      <c r="D28" s="142">
        <f>[3]Recap!$D20</f>
        <v>1.6318963902979104</v>
      </c>
      <c r="E28" s="142">
        <f>[4]Recap!$D20</f>
        <v>0.44412274339649793</v>
      </c>
      <c r="F28" s="142">
        <f>[5]Recap!$D20</f>
        <v>245.28512469173944</v>
      </c>
      <c r="G28" s="142">
        <f>[6]Recap!$D20</f>
        <v>2.7614176434725528</v>
      </c>
      <c r="H28" s="142">
        <f>[7]Recap!$D20</f>
        <v>44.224669070241902</v>
      </c>
      <c r="I28" s="142">
        <f>[8]Recap!$D19</f>
        <v>14.240951101611307</v>
      </c>
      <c r="J28" s="142">
        <f>[9]Recap!$D19</f>
        <v>2.2506695781423165</v>
      </c>
      <c r="K28" s="142">
        <f>[10]Recap!$D19</f>
        <v>0.11583345348484021</v>
      </c>
      <c r="L28" s="142">
        <f>[11]Recap!$D18</f>
        <v>0.71049071729155899</v>
      </c>
      <c r="M28" s="142">
        <f>[12]Recap!$D18</f>
        <v>12.021941250731494</v>
      </c>
      <c r="N28" s="142">
        <f>[13]Recap!$D18</f>
        <v>2.2869072490290194</v>
      </c>
      <c r="O28" s="142">
        <f>[14]Recap!$D16</f>
        <v>22.061243227338192</v>
      </c>
      <c r="P28" s="146">
        <f>[15]Recap!$D16</f>
        <v>14.056309520284284</v>
      </c>
      <c r="Q28" s="142">
        <f t="shared" si="3"/>
        <v>397.56932159766154</v>
      </c>
      <c r="S28" s="33">
        <v>2027</v>
      </c>
      <c r="T28" s="144">
        <f>[1]Recap!$G44</f>
        <v>3.136887142996936E-3</v>
      </c>
      <c r="U28" s="144">
        <f>[2]Recap!$G44</f>
        <v>8.8192043686596735E-4</v>
      </c>
      <c r="V28" s="144">
        <f>[3]Recap!$G44</f>
        <v>1.377634145768911E-4</v>
      </c>
      <c r="W28" s="144">
        <f>[4]Recap!$G44</f>
        <v>3.7257782420237587E-5</v>
      </c>
      <c r="X28" s="144">
        <f>[5]Recap!$G44</f>
        <v>2.3589020456647663E-2</v>
      </c>
      <c r="Y28" s="144">
        <f>[6]Recap!$G44</f>
        <v>2.3467445131842391E-4</v>
      </c>
      <c r="Z28" s="144">
        <f>[7]Recap!$G44</f>
        <v>3.7917887615918958E-3</v>
      </c>
      <c r="AA28" s="144">
        <f>[8]Recap!$G43</f>
        <v>1.171605280649729E-3</v>
      </c>
      <c r="AB28" s="144">
        <f>[9]Recap!$G43</f>
        <v>1.8362179347101166E-4</v>
      </c>
      <c r="AC28" s="144">
        <f>[10]Recap!$G43</f>
        <v>9.3382382217046656E-6</v>
      </c>
      <c r="AD28" s="144">
        <f>[11]Recap!$G42</f>
        <v>1.4225789619024551E-5</v>
      </c>
      <c r="AE28" s="144">
        <f>[12]Recap!$G42</f>
        <v>2.4788814181384093E-4</v>
      </c>
      <c r="AF28" s="144">
        <f>[13]Recap!$G42</f>
        <v>5.1046515720466202E-5</v>
      </c>
      <c r="AG28" s="144">
        <f>[14]Recap!$G40</f>
        <v>4.5983287557458546E-4</v>
      </c>
      <c r="AH28" s="147">
        <f>[15]Recap!$G40</f>
        <v>1.2093358503112591E-3</v>
      </c>
    </row>
    <row r="29" spans="1:34" s="68" customFormat="1" x14ac:dyDescent="0.25">
      <c r="A29" s="164" t="s">
        <v>57</v>
      </c>
      <c r="B29" s="165">
        <f t="shared" ref="B29:H29" si="4">SUM(B19:B28)</f>
        <v>262.31289620119145</v>
      </c>
      <c r="C29" s="165">
        <f t="shared" si="4"/>
        <v>135.03626676020778</v>
      </c>
      <c r="D29" s="165">
        <f>SUM(D19:D28)</f>
        <v>20.835945788803695</v>
      </c>
      <c r="E29" s="165">
        <f t="shared" si="4"/>
        <v>6.7896350811792496</v>
      </c>
      <c r="F29" s="165">
        <f t="shared" si="4"/>
        <v>848.25433226245877</v>
      </c>
      <c r="G29" s="165">
        <f t="shared" si="4"/>
        <v>39.735251072923454</v>
      </c>
      <c r="H29" s="165">
        <f t="shared" si="4"/>
        <v>793.97105784999746</v>
      </c>
      <c r="I29" s="165">
        <f>SUM(I21:I28)</f>
        <v>351.25237278625815</v>
      </c>
      <c r="J29" s="165">
        <f>SUM(J21:J28)</f>
        <v>63.939721821451656</v>
      </c>
      <c r="K29" s="165">
        <f>SUM(K21:K28)</f>
        <v>3.4838791270783815</v>
      </c>
      <c r="L29" s="165">
        <f>SUM(L23:L28)</f>
        <v>8.2528114082790776</v>
      </c>
      <c r="M29" s="165">
        <f>SUM(M23:M28)</f>
        <v>86.311146247377735</v>
      </c>
      <c r="N29" s="165">
        <f>SUM(N23:N28)</f>
        <v>13.277151819532895</v>
      </c>
      <c r="O29" s="165">
        <f t="shared" ref="O29:P29" si="5">SUM(O23:O28)</f>
        <v>69.164368581354637</v>
      </c>
      <c r="P29" s="165">
        <f t="shared" si="5"/>
        <v>45.04522035805013</v>
      </c>
      <c r="Q29" s="127">
        <f t="shared" si="3"/>
        <v>2747.6620571661447</v>
      </c>
      <c r="S29" s="164" t="s">
        <v>58</v>
      </c>
      <c r="T29" s="166">
        <f>AVERAGE(T19:T28)</f>
        <v>3.361723429862999E-3</v>
      </c>
      <c r="U29" s="166">
        <f t="shared" ref="U29:AH29" si="6">AVERAGE(U19:U28)</f>
        <v>1.1570111567779557E-3</v>
      </c>
      <c r="V29" s="166">
        <f>AVERAGE(V19:V28)</f>
        <v>1.7954266922524348E-4</v>
      </c>
      <c r="W29" s="166">
        <f t="shared" si="6"/>
        <v>5.7879632379619128E-5</v>
      </c>
      <c r="X29" s="166">
        <f t="shared" si="6"/>
        <v>8.4508547835000607E-3</v>
      </c>
      <c r="Y29" s="166">
        <f t="shared" si="6"/>
        <v>3.5849485243548375E-4</v>
      </c>
      <c r="Z29" s="166">
        <f t="shared" si="6"/>
        <v>7.23813390713717E-3</v>
      </c>
      <c r="AA29" s="166">
        <f t="shared" si="6"/>
        <v>3.2809235196134771E-3</v>
      </c>
      <c r="AB29" s="166">
        <f t="shared" si="6"/>
        <v>5.8873465067250388E-4</v>
      </c>
      <c r="AC29" s="166">
        <f t="shared" si="6"/>
        <v>3.1666427943416548E-5</v>
      </c>
      <c r="AD29" s="166">
        <f t="shared" si="6"/>
        <v>2.2001895608914018E-5</v>
      </c>
      <c r="AE29" s="166">
        <f t="shared" si="6"/>
        <v>2.3462147827773227E-4</v>
      </c>
      <c r="AF29" s="166">
        <f t="shared" si="6"/>
        <v>3.7814696619366589E-5</v>
      </c>
      <c r="AG29" s="166">
        <f t="shared" si="6"/>
        <v>2.4017725555937529E-4</v>
      </c>
      <c r="AH29" s="166">
        <f t="shared" si="6"/>
        <v>6.4544040576013106E-4</v>
      </c>
    </row>
    <row r="30" spans="1:34" ht="7.5" customHeight="1" x14ac:dyDescent="0.3">
      <c r="A30" s="1"/>
      <c r="S30" s="1"/>
      <c r="AB30" s="125"/>
      <c r="AC30" s="125"/>
    </row>
    <row r="31" spans="1:34" ht="15.75" x14ac:dyDescent="0.25">
      <c r="A31" s="87" t="s">
        <v>60</v>
      </c>
      <c r="S31" s="87" t="s">
        <v>60</v>
      </c>
      <c r="AB31" s="125"/>
      <c r="AC31" s="125"/>
    </row>
    <row r="32" spans="1:34" s="15" customFormat="1" ht="33.75" x14ac:dyDescent="0.2">
      <c r="A32" s="88" t="s">
        <v>4</v>
      </c>
      <c r="B32" s="12" t="s">
        <v>5</v>
      </c>
      <c r="C32" s="12" t="s">
        <v>6</v>
      </c>
      <c r="D32" s="12" t="s">
        <v>7</v>
      </c>
      <c r="E32" s="12" t="s">
        <v>8</v>
      </c>
      <c r="F32" s="12" t="s">
        <v>9</v>
      </c>
      <c r="G32" s="12" t="s">
        <v>10</v>
      </c>
      <c r="H32" s="12" t="s">
        <v>11</v>
      </c>
      <c r="I32" s="12" t="s">
        <v>12</v>
      </c>
      <c r="J32" s="12" t="s">
        <v>13</v>
      </c>
      <c r="K32" s="12" t="s">
        <v>14</v>
      </c>
      <c r="L32" s="12" t="s">
        <v>15</v>
      </c>
      <c r="M32" s="12" t="s">
        <v>16</v>
      </c>
      <c r="N32" s="12" t="s">
        <v>17</v>
      </c>
      <c r="O32" s="12" t="s">
        <v>18</v>
      </c>
      <c r="P32" s="12" t="s">
        <v>19</v>
      </c>
      <c r="Q32" s="128" t="s">
        <v>56</v>
      </c>
      <c r="S32" s="11" t="s">
        <v>4</v>
      </c>
      <c r="T32" s="12" t="s">
        <v>5</v>
      </c>
      <c r="U32" s="12" t="s">
        <v>6</v>
      </c>
      <c r="V32" s="12" t="s">
        <v>7</v>
      </c>
      <c r="W32" s="12" t="s">
        <v>8</v>
      </c>
      <c r="X32" s="12" t="s">
        <v>9</v>
      </c>
      <c r="Y32" s="12" t="s">
        <v>10</v>
      </c>
      <c r="Z32" s="12" t="s">
        <v>11</v>
      </c>
      <c r="AA32" s="129" t="s">
        <v>12</v>
      </c>
      <c r="AB32" s="12" t="s">
        <v>13</v>
      </c>
      <c r="AC32" s="12" t="s">
        <v>14</v>
      </c>
      <c r="AD32" s="129" t="s">
        <v>15</v>
      </c>
      <c r="AE32" s="129" t="s">
        <v>16</v>
      </c>
      <c r="AF32" s="129" t="s">
        <v>17</v>
      </c>
      <c r="AG32" s="12" t="s">
        <v>18</v>
      </c>
      <c r="AH32" s="12" t="s">
        <v>19</v>
      </c>
    </row>
    <row r="33" spans="1:34" s="15" customFormat="1" ht="12.75" x14ac:dyDescent="0.2">
      <c r="A33" s="16">
        <v>2018</v>
      </c>
      <c r="B33" s="167">
        <f>'[1]2018'!Wh_Ppv</f>
        <v>12.355579314052193</v>
      </c>
      <c r="C33" s="167">
        <f>'[2]2018'!Wh_Ppv</f>
        <v>13.605324335426303</v>
      </c>
      <c r="D33" s="167">
        <f>'[3]2018'!Wh_Ppv</f>
        <v>11.277177908806152</v>
      </c>
      <c r="E33" s="167">
        <f>'[4]2018'!Wh_Ppv</f>
        <v>10.654230512674076</v>
      </c>
      <c r="F33" s="167">
        <f>'[5]2018'!Wh_Ppv</f>
        <v>4.1474955007734025</v>
      </c>
      <c r="G33" s="167">
        <f>'[6]2018'!Wh_Ppv</f>
        <v>3.1147507785951802</v>
      </c>
      <c r="H33" s="167">
        <f>'[7]2018'!Wh_Ppv</f>
        <v>3.0863772712791615</v>
      </c>
      <c r="I33" s="168"/>
      <c r="J33" s="168"/>
      <c r="K33" s="168"/>
      <c r="L33" s="168"/>
      <c r="M33" s="168"/>
      <c r="N33" s="168"/>
      <c r="O33" s="168"/>
      <c r="P33" s="169"/>
      <c r="Q33" s="127">
        <f t="shared" ref="Q33:Q42" si="7">SUM(B33:P33)</f>
        <v>58.240935621606468</v>
      </c>
      <c r="S33" s="16">
        <v>2018</v>
      </c>
      <c r="T33" s="170">
        <f>[1]Recap!$E35</f>
        <v>2.7445102515151168E-3</v>
      </c>
      <c r="U33" s="170">
        <f>[2]Recap!$E35</f>
        <v>2.3974021512186898E-3</v>
      </c>
      <c r="V33" s="170">
        <f>[3]Recap!$E35</f>
        <v>2.5877376710289469E-3</v>
      </c>
      <c r="W33" s="170">
        <f>[4]Recap!$E35</f>
        <v>2.3084459283426715E-3</v>
      </c>
      <c r="X33" s="170">
        <f>[5]Recap!$E35</f>
        <v>1.6458224044681514E-3</v>
      </c>
      <c r="Y33" s="170">
        <f>[6]Recap!$E35</f>
        <v>2.2574174806909626E-3</v>
      </c>
      <c r="Z33" s="170">
        <f>[7]Recap!$E35</f>
        <v>2.2617185136911489E-3</v>
      </c>
      <c r="AA33" s="171"/>
      <c r="AB33" s="171"/>
      <c r="AC33" s="171"/>
      <c r="AD33" s="171"/>
      <c r="AE33" s="171"/>
      <c r="AF33" s="171"/>
      <c r="AG33" s="171"/>
      <c r="AH33" s="172"/>
    </row>
    <row r="34" spans="1:34" s="15" customFormat="1" ht="12.75" x14ac:dyDescent="0.2">
      <c r="A34" s="16">
        <v>2019</v>
      </c>
      <c r="B34" s="167">
        <f>'[1]2019'!Wh_Ppv</f>
        <v>70.443593428278291</v>
      </c>
      <c r="C34" s="167">
        <f>'[2]2019'!Wh_Ppv</f>
        <v>97.534114424604923</v>
      </c>
      <c r="D34" s="167">
        <f>'[3]2019'!Wh_Ppv</f>
        <v>99.340815579875198</v>
      </c>
      <c r="E34" s="167">
        <f>'[4]2019'!Wh_Ppv</f>
        <v>98.77463814363</v>
      </c>
      <c r="F34" s="167">
        <f>'[5]2019'!Wh_Ppv</f>
        <v>79.38384149174999</v>
      </c>
      <c r="G34" s="167">
        <f>'[6]2019'!Wh_Ppv</f>
        <v>83.01545922456171</v>
      </c>
      <c r="H34" s="167">
        <f>'[7]2019'!Wh_Ppv</f>
        <v>81.938693449063067</v>
      </c>
      <c r="I34" s="167">
        <f>'[8]2019'!Wh_Ppv</f>
        <v>35.758964163449491</v>
      </c>
      <c r="J34" s="167">
        <f>'[9]2019'!Wh_Ppv</f>
        <v>35.107345778133094</v>
      </c>
      <c r="K34" s="167">
        <f>'[10]2019'!Wh_Ppv</f>
        <v>32.63562161381742</v>
      </c>
      <c r="L34" s="167"/>
      <c r="M34" s="167"/>
      <c r="N34" s="167"/>
      <c r="O34" s="167"/>
      <c r="P34" s="173"/>
      <c r="Q34" s="127">
        <f t="shared" si="7"/>
        <v>713.93308729716318</v>
      </c>
      <c r="S34" s="16">
        <v>2019</v>
      </c>
      <c r="T34" s="170">
        <f>[1]Recap!$E36</f>
        <v>9.4350942996907078E-3</v>
      </c>
      <c r="U34" s="170">
        <f>[2]Recap!$E36</f>
        <v>8.691787015430141E-3</v>
      </c>
      <c r="V34" s="170">
        <f>[3]Recap!$E36</f>
        <v>8.5781075074727754E-3</v>
      </c>
      <c r="W34" s="170">
        <f>[4]Recap!$E36</f>
        <v>8.3819987309747424E-3</v>
      </c>
      <c r="X34" s="170">
        <f>[5]Recap!$E36</f>
        <v>7.6073903967093714E-3</v>
      </c>
      <c r="Y34" s="170">
        <f>[6]Recap!$E36</f>
        <v>7.6340505023062251E-3</v>
      </c>
      <c r="Z34" s="170">
        <f>[7]Recap!$E36</f>
        <v>7.610457035857404E-3</v>
      </c>
      <c r="AA34" s="170">
        <f>[8]Recap!$E35</f>
        <v>3.5596165102353854E-3</v>
      </c>
      <c r="AB34" s="170">
        <f>[9]Recap!$E35</f>
        <v>3.4223456565418034E-3</v>
      </c>
      <c r="AC34" s="170">
        <f>[10]Recap!$E35</f>
        <v>3.1495627912824331E-3</v>
      </c>
      <c r="AD34" s="170"/>
      <c r="AE34" s="170"/>
      <c r="AF34" s="170"/>
      <c r="AG34" s="170"/>
      <c r="AH34" s="174"/>
    </row>
    <row r="35" spans="1:34" s="15" customFormat="1" ht="12.75" x14ac:dyDescent="0.2">
      <c r="A35" s="16">
        <v>2020</v>
      </c>
      <c r="B35" s="167">
        <f>'[1]2020'!Wh_Ppv</f>
        <v>123.80787121146386</v>
      </c>
      <c r="C35" s="167">
        <f>'[2]2020'!Wh_Ppv</f>
        <v>176.98408528951586</v>
      </c>
      <c r="D35" s="167">
        <f>'[3]2020'!Wh_Ppv</f>
        <v>185.62870582959113</v>
      </c>
      <c r="E35" s="167">
        <f>'[4]2020'!Wh_Ppv</f>
        <v>185.50430684100138</v>
      </c>
      <c r="F35" s="167">
        <f>'[5]2020'!Wh_Ppv</f>
        <v>193.6466379014837</v>
      </c>
      <c r="G35" s="167">
        <f>'[6]2020'!Wh_Ppv</f>
        <v>167.18169118171863</v>
      </c>
      <c r="H35" s="167">
        <f>'[7]2020'!Wh_Ppv</f>
        <v>159.45843053011595</v>
      </c>
      <c r="I35" s="167">
        <f>'[8]2020'!Wh_Ppv</f>
        <v>115.47808310310756</v>
      </c>
      <c r="J35" s="167">
        <f>'[9]2020'!Wh_Ppv</f>
        <v>114.8578763951009</v>
      </c>
      <c r="K35" s="167">
        <f>'[10]2020'!Wh_Ppv</f>
        <v>112.73743496705174</v>
      </c>
      <c r="L35" s="167">
        <f>'[11]2020'!Wh_Ppv</f>
        <v>174.61724272811989</v>
      </c>
      <c r="M35" s="167">
        <f>'[12]2020'!Wh_Ppv</f>
        <v>163.67482860564633</v>
      </c>
      <c r="N35" s="167">
        <f>'[13]2020'!Wh_Ppv</f>
        <v>39.294647503702436</v>
      </c>
      <c r="O35" s="167"/>
      <c r="P35" s="173"/>
      <c r="Q35" s="127">
        <f t="shared" si="7"/>
        <v>1912.8718420876194</v>
      </c>
      <c r="S35" s="16">
        <v>2020</v>
      </c>
      <c r="T35" s="170">
        <f>[1]Recap!$E37</f>
        <v>1.7561014078621512E-2</v>
      </c>
      <c r="U35" s="170">
        <f>[2]Recap!$E37</f>
        <v>1.6822207052419276E-2</v>
      </c>
      <c r="V35" s="170">
        <f>[3]Recap!$E37</f>
        <v>1.6671419666160758E-2</v>
      </c>
      <c r="W35" s="170">
        <f>[4]Recap!$E37</f>
        <v>1.6473918027598417E-2</v>
      </c>
      <c r="X35" s="170">
        <f>[5]Recap!$E37</f>
        <v>1.9897094110880215E-2</v>
      </c>
      <c r="Y35" s="170">
        <f>[6]Recap!$E37</f>
        <v>1.6222190251212267E-2</v>
      </c>
      <c r="Z35" s="170">
        <f>[7]Recap!$E37</f>
        <v>1.6190377660076076E-2</v>
      </c>
      <c r="AA35" s="170">
        <f>[8]Recap!$E36</f>
        <v>1.0208704922166845E-2</v>
      </c>
      <c r="AB35" s="170">
        <f>[9]Recap!$E36</f>
        <v>1.0094932119871306E-2</v>
      </c>
      <c r="AC35" s="170">
        <f>[10]Recap!$E36</f>
        <v>9.8014696424478989E-3</v>
      </c>
      <c r="AD35" s="170">
        <f>[11]Recap!$E35</f>
        <v>3.7533439879971929E-3</v>
      </c>
      <c r="AE35" s="170">
        <f>[12]Recap!$E35</f>
        <v>3.5303497068894557E-3</v>
      </c>
      <c r="AF35" s="170">
        <f>[13]Recap!$E35</f>
        <v>1.5275133097847489E-3</v>
      </c>
      <c r="AG35" s="170"/>
      <c r="AH35" s="174"/>
    </row>
    <row r="36" spans="1:34" s="15" customFormat="1" ht="12.75" x14ac:dyDescent="0.2">
      <c r="A36" s="16">
        <v>2021</v>
      </c>
      <c r="B36" s="167">
        <f>'[1]2021'!Wh_Ppv</f>
        <v>182.61258547714806</v>
      </c>
      <c r="C36" s="167">
        <f>'[2]2021'!Wh_Ppv</f>
        <v>274.30454854463824</v>
      </c>
      <c r="D36" s="167">
        <f>'[3]2021'!Wh_Ppv</f>
        <v>266.3803493750911</v>
      </c>
      <c r="E36" s="167">
        <f>'[4]2021'!Wh_Ppv</f>
        <v>274.86827197253479</v>
      </c>
      <c r="F36" s="167">
        <f>'[5]2021'!Wh_Ppv</f>
        <v>356.56539381578477</v>
      </c>
      <c r="G36" s="167">
        <f>'[6]2021'!Wh_Ppv</f>
        <v>257.48080975731318</v>
      </c>
      <c r="H36" s="167">
        <f>'[7]2021'!Wh_Ppv</f>
        <v>246.60500400489036</v>
      </c>
      <c r="I36" s="167">
        <f>'[8]2021'!Wh_Ppv</f>
        <v>185.92643981699075</v>
      </c>
      <c r="J36" s="167">
        <f>'[9]2021'!Wh_Ppv</f>
        <v>185.66778992785657</v>
      </c>
      <c r="K36" s="167">
        <f>'[10]2021'!Wh_Ppv</f>
        <v>182.13516275789334</v>
      </c>
      <c r="L36" s="167">
        <f>'[11]2021'!Wh_Ppv</f>
        <v>399.28117612332426</v>
      </c>
      <c r="M36" s="167">
        <f>'[12]2021'!Wh_Ppv</f>
        <v>396.53295113176864</v>
      </c>
      <c r="N36" s="167">
        <f>'[13]2021'!Wh_Ppv</f>
        <v>172.57184267759294</v>
      </c>
      <c r="O36" s="167"/>
      <c r="P36" s="173"/>
      <c r="Q36" s="127">
        <f t="shared" si="7"/>
        <v>3380.932325382827</v>
      </c>
      <c r="S36" s="16">
        <v>2021</v>
      </c>
      <c r="T36" s="170">
        <f>[1]Recap!$E38</f>
        <v>2.5834302827776726E-2</v>
      </c>
      <c r="U36" s="170">
        <f>[2]Recap!$E38</f>
        <v>2.5120862823189982E-2</v>
      </c>
      <c r="V36" s="170">
        <f>[3]Recap!$E38</f>
        <v>2.4305450568618988E-2</v>
      </c>
      <c r="W36" s="170">
        <f>[4]Recap!$E38</f>
        <v>2.4718158610383706E-2</v>
      </c>
      <c r="X36" s="170">
        <f>[5]Recap!$E38</f>
        <v>3.6751097312847009E-2</v>
      </c>
      <c r="Y36" s="170">
        <f>[6]Recap!$E38</f>
        <v>2.4984557883716511E-2</v>
      </c>
      <c r="Z36" s="170">
        <f>[7]Recap!$E38</f>
        <v>2.4963679292763781E-2</v>
      </c>
      <c r="AA36" s="170">
        <f>[8]Recap!$E37</f>
        <v>1.7346618992825434E-2</v>
      </c>
      <c r="AB36" s="170">
        <f>[9]Recap!$E37</f>
        <v>1.72241640195442E-2</v>
      </c>
      <c r="AC36" s="170">
        <f>[10]Recap!$E37</f>
        <v>1.6935773159675226E-2</v>
      </c>
      <c r="AD36" s="170">
        <f>[11]Recap!$E36</f>
        <v>9.2410469144759769E-3</v>
      </c>
      <c r="AE36" s="170">
        <f>[12]Recap!$E36</f>
        <v>8.8004229518366776E-3</v>
      </c>
      <c r="AF36" s="170">
        <f>[13]Recap!$E36</f>
        <v>4.0548391740790118E-3</v>
      </c>
      <c r="AG36" s="170"/>
      <c r="AH36" s="174"/>
    </row>
    <row r="37" spans="1:34" s="43" customFormat="1" ht="12.75" x14ac:dyDescent="0.2">
      <c r="A37" s="136">
        <v>2022</v>
      </c>
      <c r="B37" s="175">
        <f>'[1]2022'!Wh_Ppv</f>
        <v>237.68976977509919</v>
      </c>
      <c r="C37" s="175">
        <f>'[2]2022'!Wh_Ppv</f>
        <v>353.7677886955953</v>
      </c>
      <c r="D37" s="175">
        <f>'[3]2022'!Wh_Ppv</f>
        <v>348.72497652425955</v>
      </c>
      <c r="E37" s="175">
        <f>'[4]2022'!Wh_Ppv</f>
        <v>364.47232747548878</v>
      </c>
      <c r="F37" s="175">
        <f>'[5]2022'!Wh_Ppv</f>
        <v>464.66729413232497</v>
      </c>
      <c r="G37" s="175">
        <f>'[6]2022'!Wh_Ppv</f>
        <v>346.63525833777385</v>
      </c>
      <c r="H37" s="175">
        <f>'[7]2022'!Wh_Ppv</f>
        <v>325.41676796126012</v>
      </c>
      <c r="I37" s="175">
        <f>'[8]2022'!Wh_Ppv</f>
        <v>274.90880984406976</v>
      </c>
      <c r="J37" s="175">
        <f>'[9]2022'!Wh_Ppv</f>
        <v>277.68692906999786</v>
      </c>
      <c r="K37" s="175">
        <f>'[10]2022'!Wh_Ppv</f>
        <v>280.42706538638959</v>
      </c>
      <c r="L37" s="175">
        <f>'[11]2022'!Wh_Ppv</f>
        <v>702.78449145479681</v>
      </c>
      <c r="M37" s="175">
        <f>'[12]2022'!Wh_Ppv</f>
        <v>749.01470185581275</v>
      </c>
      <c r="N37" s="175">
        <f>'[13]2022'!Wh_Ppv</f>
        <v>293.54489498129988</v>
      </c>
      <c r="O37" s="175">
        <f>'[14]2022'!Wh_Ppv</f>
        <v>230.38563798453106</v>
      </c>
      <c r="P37" s="176">
        <f>'[15]2022'!Wh_Ppv</f>
        <v>32.230269487068654</v>
      </c>
      <c r="Q37" s="139">
        <f t="shared" si="7"/>
        <v>5282.3569829657681</v>
      </c>
      <c r="S37" s="136">
        <v>2022</v>
      </c>
      <c r="T37" s="177">
        <f>[1]Recap!$E39</f>
        <v>3.3516462519325232E-2</v>
      </c>
      <c r="U37" s="177">
        <f>[2]Recap!$E39</f>
        <v>3.3068068815850199E-2</v>
      </c>
      <c r="V37" s="177">
        <f>[3]Recap!$E39</f>
        <v>3.1657874740773459E-2</v>
      </c>
      <c r="W37" s="177">
        <f>[4]Recap!$E39</f>
        <v>3.293169673192823E-2</v>
      </c>
      <c r="X37" s="177">
        <f>[5]Recap!$E39</f>
        <v>5.0450141408478283E-2</v>
      </c>
      <c r="Y37" s="177">
        <f>[6]Recap!$E39</f>
        <v>3.3332076055731241E-2</v>
      </c>
      <c r="Z37" s="177">
        <f>[7]Recap!$E39</f>
        <v>3.3335860331915448E-2</v>
      </c>
      <c r="AA37" s="177">
        <f>[8]Recap!$E38</f>
        <v>2.3948552408587873E-2</v>
      </c>
      <c r="AB37" s="177">
        <f>[9]Recap!$E38</f>
        <v>2.404548100932373E-2</v>
      </c>
      <c r="AC37" s="177">
        <f>[10]Recap!$E38</f>
        <v>2.4185866259582075E-2</v>
      </c>
      <c r="AD37" s="177">
        <f>[11]Recap!$E37</f>
        <v>1.4646977165567246E-2</v>
      </c>
      <c r="AE37" s="177">
        <f>[12]Recap!$E37</f>
        <v>1.598281379480122E-2</v>
      </c>
      <c r="AF37" s="177">
        <f>[13]Recap!$E37</f>
        <v>6.8739481214382487E-3</v>
      </c>
      <c r="AG37" s="177">
        <f>[14]Recap!$E35</f>
        <v>4.9229731676435412E-3</v>
      </c>
      <c r="AH37" s="178">
        <f>[15]Recap!$E35</f>
        <v>2.8173571074794528E-3</v>
      </c>
    </row>
    <row r="38" spans="1:34" s="43" customFormat="1" ht="12.75" x14ac:dyDescent="0.2">
      <c r="A38" s="33">
        <v>2023</v>
      </c>
      <c r="B38" s="142">
        <f>'[1]2023'!Wh_Ppv</f>
        <v>306.52646669452861</v>
      </c>
      <c r="C38" s="142">
        <f>'[2]2023'!Wh_Ppv</f>
        <v>453.48649133650906</v>
      </c>
      <c r="D38" s="142">
        <f>'[3]2023'!Wh_Ppv</f>
        <v>445.42397753599107</v>
      </c>
      <c r="E38" s="142">
        <f>'[4]2023'!Wh_Ppv</f>
        <v>459.89022485435817</v>
      </c>
      <c r="F38" s="142">
        <f>'[5]2023'!Wh_Ppv</f>
        <v>622.93685833643576</v>
      </c>
      <c r="G38" s="142">
        <f>'[6]2023'!Wh_Ppv</f>
        <v>454.70003642793927</v>
      </c>
      <c r="H38" s="142">
        <f>'[7]2023'!Wh_Ppv</f>
        <v>442.92776625943588</v>
      </c>
      <c r="I38" s="142">
        <f>'[8]2023'!Wh_Ppv</f>
        <v>364.78502449712687</v>
      </c>
      <c r="J38" s="142">
        <f>'[9]2023'!Wh_Ppv</f>
        <v>366.90847513375775</v>
      </c>
      <c r="K38" s="142">
        <f>'[10]2023'!Wh_Ppv</f>
        <v>367.76009706416153</v>
      </c>
      <c r="L38" s="142">
        <f>'[11]2023'!Wh_Ppv</f>
        <v>977.58365871752903</v>
      </c>
      <c r="M38" s="142">
        <f>'[12]2023'!Wh_Ppv</f>
        <v>1020.6765423700417</v>
      </c>
      <c r="N38" s="142">
        <f>'[13]2023'!Wh_Ppv</f>
        <v>438.20771578590939</v>
      </c>
      <c r="O38" s="142">
        <f>'[14]2023'!Wh_Ppv</f>
        <v>439.01187325044884</v>
      </c>
      <c r="P38" s="143">
        <f>'[15]2023'!Wh_Ppv</f>
        <v>91.544218853625352</v>
      </c>
      <c r="Q38" s="142">
        <f t="shared" si="7"/>
        <v>7252.3694271177983</v>
      </c>
      <c r="S38" s="33">
        <v>2023</v>
      </c>
      <c r="T38" s="144">
        <f>[1]Recap!$E40</f>
        <v>4.239017293725799E-2</v>
      </c>
      <c r="U38" s="144">
        <f>[2]Recap!$E40</f>
        <v>4.1663292923524581E-2</v>
      </c>
      <c r="V38" s="144">
        <f>[3]Recap!$E40</f>
        <v>4.0179308920833288E-2</v>
      </c>
      <c r="W38" s="144">
        <f>[4]Recap!$E40</f>
        <v>4.1260640166081552E-2</v>
      </c>
      <c r="X38" s="144">
        <f>[5]Recap!$E40</f>
        <v>6.5973910065410965E-2</v>
      </c>
      <c r="Y38" s="144">
        <f>[6]Recap!$E40</f>
        <v>4.2598967894520709E-2</v>
      </c>
      <c r="Z38" s="144">
        <f>[7]Recap!$E40</f>
        <v>4.250842953364211E-2</v>
      </c>
      <c r="AA38" s="144">
        <f>[8]Recap!$E39</f>
        <v>3.1720666116693066E-2</v>
      </c>
      <c r="AB38" s="144">
        <f>[9]Recap!$E39</f>
        <v>3.16091794443049E-2</v>
      </c>
      <c r="AC38" s="144">
        <f>[10]Recap!$E39</f>
        <v>3.1322273413012067E-2</v>
      </c>
      <c r="AD38" s="144">
        <f>[11]Recap!$E38</f>
        <v>2.0428388116321083E-2</v>
      </c>
      <c r="AE38" s="144">
        <f>[12]Recap!$E38</f>
        <v>2.1776379282461802E-2</v>
      </c>
      <c r="AF38" s="144">
        <f>[13]Recap!$E38</f>
        <v>1.011600603383294E-2</v>
      </c>
      <c r="AG38" s="144">
        <f>[14]Recap!$E36</f>
        <v>9.3591155010086143E-3</v>
      </c>
      <c r="AH38" s="145">
        <f>[15]Recap!$E36</f>
        <v>8.023271869000273E-3</v>
      </c>
    </row>
    <row r="39" spans="1:34" s="43" customFormat="1" ht="12.75" x14ac:dyDescent="0.2">
      <c r="A39" s="33">
        <v>2024</v>
      </c>
      <c r="B39" s="142">
        <f>'[1]2024'!Wh_Ppv</f>
        <v>353.81338044930726</v>
      </c>
      <c r="C39" s="142">
        <f>'[2]2024'!Wh_Ppv</f>
        <v>532.57375499480258</v>
      </c>
      <c r="D39" s="142">
        <f>'[3]2024'!Wh_Ppv</f>
        <v>528.21429390097728</v>
      </c>
      <c r="E39" s="142">
        <f>'[4]2024'!Wh_Ppv</f>
        <v>540.64972692900119</v>
      </c>
      <c r="F39" s="142">
        <f>'[5]2024'!Wh_Ppv</f>
        <v>678.13768362556948</v>
      </c>
      <c r="G39" s="142">
        <f>'[6]2024'!Wh_Ppv</f>
        <v>528.97688413552351</v>
      </c>
      <c r="H39" s="142">
        <f>'[7]2024'!Wh_Ppv</f>
        <v>493.67461221479607</v>
      </c>
      <c r="I39" s="142">
        <f>'[8]2024'!Wh_Ppv</f>
        <v>433.29678138637428</v>
      </c>
      <c r="J39" s="142">
        <f>'[9]2024'!Wh_Ppv</f>
        <v>437.57835027897454</v>
      </c>
      <c r="K39" s="142">
        <f>'[10]2024'!Wh_Ppv</f>
        <v>437.40351854091932</v>
      </c>
      <c r="L39" s="142">
        <f>'[11]2024'!Wh_Ppv</f>
        <v>1221.3438905780058</v>
      </c>
      <c r="M39" s="142">
        <f>'[12]2024'!Wh_Ppv</f>
        <v>1253.8536510400372</v>
      </c>
      <c r="N39" s="142">
        <f>'[13]2024'!Wh_Ppv</f>
        <v>568.62274792238168</v>
      </c>
      <c r="O39" s="142">
        <f>'[14]2024'!Wh_Ppv</f>
        <v>664.58667768500163</v>
      </c>
      <c r="P39" s="143">
        <f>'[15]2024'!Wh_Ppv</f>
        <v>146.2742059229422</v>
      </c>
      <c r="Q39" s="142">
        <f t="shared" si="7"/>
        <v>8819.0001596046131</v>
      </c>
      <c r="S39" s="33">
        <v>2024</v>
      </c>
      <c r="T39" s="144">
        <f>[1]Recap!$E41</f>
        <v>5.0707242372174777E-2</v>
      </c>
      <c r="U39" s="144">
        <f>[2]Recap!$E41</f>
        <v>4.9960896995937726E-2</v>
      </c>
      <c r="V39" s="144">
        <f>[3]Recap!$E41</f>
        <v>4.8487260312629586E-2</v>
      </c>
      <c r="W39" s="144">
        <f>[4]Recap!$E41</f>
        <v>4.9588684187032363E-2</v>
      </c>
      <c r="X39" s="144">
        <f>[5]Recap!$E41</f>
        <v>7.5196995278701467E-2</v>
      </c>
      <c r="Y39" s="144">
        <f>[6]Recap!$E41</f>
        <v>5.1435967524846762E-2</v>
      </c>
      <c r="Z39" s="144">
        <f>[7]Recap!$E41</f>
        <v>5.138863904733347E-2</v>
      </c>
      <c r="AA39" s="144">
        <f>[8]Recap!$E40</f>
        <v>3.8958119297266294E-2</v>
      </c>
      <c r="AB39" s="144">
        <f>[9]Recap!$E40</f>
        <v>3.8841378898109846E-2</v>
      </c>
      <c r="AC39" s="144">
        <f>[10]Recap!$E40</f>
        <v>3.8554771364132483E-2</v>
      </c>
      <c r="AD39" s="144">
        <f>[11]Recap!$E39</f>
        <v>2.604074574255099E-2</v>
      </c>
      <c r="AE39" s="144">
        <f>[12]Recap!$E39</f>
        <v>2.727685688663832E-2</v>
      </c>
      <c r="AF39" s="144">
        <f>[13]Recap!$E39</f>
        <v>1.3139072196579022E-2</v>
      </c>
      <c r="AG39" s="144">
        <f>[14]Recap!$E37</f>
        <v>1.440525722728379E-2</v>
      </c>
      <c r="AH39" s="145">
        <f>[15]Recap!$E37</f>
        <v>1.3065068600680652E-2</v>
      </c>
    </row>
    <row r="40" spans="1:34" s="43" customFormat="1" ht="12.75" x14ac:dyDescent="0.2">
      <c r="A40" s="33">
        <v>2025</v>
      </c>
      <c r="B40" s="142">
        <f>'[1]2025'!Wh_Ppv</f>
        <v>422.93157902084477</v>
      </c>
      <c r="C40" s="142">
        <f>'[2]2025'!Wh_Ppv</f>
        <v>632.91519492832413</v>
      </c>
      <c r="D40" s="142">
        <f>'[3]2025'!Wh_Ppv</f>
        <v>623.14693645385887</v>
      </c>
      <c r="E40" s="142">
        <f>'[4]2025'!Wh_Ppv</f>
        <v>637.41901613398113</v>
      </c>
      <c r="F40" s="142">
        <f>'[5]2025'!Wh_Ppv</f>
        <v>777.54908941006215</v>
      </c>
      <c r="G40" s="142">
        <f>'[6]2025'!Wh_Ppv</f>
        <v>635.56994961512282</v>
      </c>
      <c r="H40" s="142">
        <f>'[7]2025'!Wh_Ppv</f>
        <v>612.4084424153134</v>
      </c>
      <c r="I40" s="142">
        <f>'[8]2025'!Wh_Ppv</f>
        <v>517.23158343089744</v>
      </c>
      <c r="J40" s="142">
        <f>'[9]2025'!Wh_Ppv</f>
        <v>524.33385368343625</v>
      </c>
      <c r="K40" s="142">
        <f>'[10]2025'!Wh_Ppv</f>
        <v>526.22542485626036</v>
      </c>
      <c r="L40" s="142">
        <f>'[11]2025'!Wh_Ppv</f>
        <v>1498.5929944359086</v>
      </c>
      <c r="M40" s="142">
        <f>'[12]2025'!Wh_Ppv</f>
        <v>1512.1734401809372</v>
      </c>
      <c r="N40" s="142">
        <f>'[13]2025'!Wh_Ppv</f>
        <v>702.42780403179495</v>
      </c>
      <c r="O40" s="142">
        <f>'[14]2025'!Wh_Ppv</f>
        <v>904.82485117878969</v>
      </c>
      <c r="P40" s="143">
        <f>'[15]2025'!Wh_Ppv</f>
        <v>204.59381042307905</v>
      </c>
      <c r="Q40" s="142">
        <f t="shared" si="7"/>
        <v>10732.343970198612</v>
      </c>
      <c r="S40" s="33">
        <v>2025</v>
      </c>
      <c r="T40" s="144">
        <f>[1]Recap!$E42</f>
        <v>5.9231786103018255E-2</v>
      </c>
      <c r="U40" s="144">
        <f>[2]Recap!$E42</f>
        <v>5.8457469539064832E-2</v>
      </c>
      <c r="V40" s="144">
        <f>[3]Recap!$E42</f>
        <v>5.6939898550936743E-2</v>
      </c>
      <c r="W40" s="144">
        <f>[4]Recap!$E42</f>
        <v>5.8064964472466389E-2</v>
      </c>
      <c r="X40" s="144">
        <f>[5]Recap!$E42</f>
        <v>8.4665149000789558E-2</v>
      </c>
      <c r="Y40" s="144">
        <f>[6]Recap!$E42</f>
        <v>6.0486701072005357E-2</v>
      </c>
      <c r="Z40" s="144">
        <f>[7]Recap!$E42</f>
        <v>6.0519072603330039E-2</v>
      </c>
      <c r="AA40" s="144">
        <f>[8]Recap!$E41</f>
        <v>4.6292694714230677E-2</v>
      </c>
      <c r="AB40" s="144">
        <f>[9]Recap!$E41</f>
        <v>4.6178216108120347E-2</v>
      </c>
      <c r="AC40" s="144">
        <f>[10]Recap!$E41</f>
        <v>4.5893872674796957E-2</v>
      </c>
      <c r="AD40" s="144">
        <f>[11]Recap!$E40</f>
        <v>3.1726495375434142E-2</v>
      </c>
      <c r="AE40" s="144">
        <f>[12]Recap!$E40</f>
        <v>3.2765556266586532E-2</v>
      </c>
      <c r="AF40" s="144">
        <f>[13]Recap!$E40</f>
        <v>1.6192086162766631E-2</v>
      </c>
      <c r="AG40" s="144">
        <f>[14]Recap!$E38</f>
        <v>1.9512112496831043E-2</v>
      </c>
      <c r="AH40" s="145">
        <f>[15]Recap!$E38</f>
        <v>1.8163882895532942E-2</v>
      </c>
    </row>
    <row r="41" spans="1:34" s="43" customFormat="1" ht="12.75" x14ac:dyDescent="0.2">
      <c r="A41" s="33">
        <v>2026</v>
      </c>
      <c r="B41" s="142">
        <f>'[1]2026'!Wh_Ppv</f>
        <v>467.82652446767406</v>
      </c>
      <c r="C41" s="142">
        <f>'[2]2026'!Wh_Ppv</f>
        <v>703.18803214718901</v>
      </c>
      <c r="D41" s="142">
        <f>'[3]2026'!Wh_Ppv</f>
        <v>700.32502099713929</v>
      </c>
      <c r="E41" s="142">
        <f>'[4]2026'!Wh_Ppv</f>
        <v>712.92109249434907</v>
      </c>
      <c r="F41" s="142">
        <f>'[5]2026'!Wh_Ppv</f>
        <v>819.69853151542702</v>
      </c>
      <c r="G41" s="142">
        <f>'[6]2026'!Wh_Ppv</f>
        <v>702.36140254736893</v>
      </c>
      <c r="H41" s="142">
        <f>'[7]2026'!Wh_Ppv</f>
        <v>674.30264560448632</v>
      </c>
      <c r="I41" s="142">
        <f>'[8]2026'!Wh_Ppv</f>
        <v>589.83598759379856</v>
      </c>
      <c r="J41" s="142">
        <f>'[9]2026'!Wh_Ppv</f>
        <v>594.01932460338867</v>
      </c>
      <c r="K41" s="142">
        <f>'[10]2026'!Wh_Ppv</f>
        <v>594.31649593254951</v>
      </c>
      <c r="L41" s="142">
        <f>'[11]2026'!Wh_Ppv</f>
        <v>1732.1474209610315</v>
      </c>
      <c r="M41" s="142">
        <f>'[12]2026'!Wh_Ppv</f>
        <v>1755.1904283349504</v>
      </c>
      <c r="N41" s="142">
        <f>'[13]2026'!Wh_Ppv</f>
        <v>826.29334202170139</v>
      </c>
      <c r="O41" s="142">
        <f>'[14]2026'!Wh_Ppv</f>
        <v>1122.0204761390778</v>
      </c>
      <c r="P41" s="143">
        <f>'[15]2026'!Wh_Ppv</f>
        <v>257.2485236583816</v>
      </c>
      <c r="Q41" s="142">
        <f t="shared" si="7"/>
        <v>12251.695249018514</v>
      </c>
      <c r="S41" s="33">
        <v>2026</v>
      </c>
      <c r="T41" s="144">
        <f>[1]Recap!$E43</f>
        <v>6.7663317749511967E-2</v>
      </c>
      <c r="U41" s="144">
        <f>[2]Recap!$E43</f>
        <v>6.6902327069160716E-2</v>
      </c>
      <c r="V41" s="144">
        <f>[3]Recap!$E43</f>
        <v>6.5382001634235243E-2</v>
      </c>
      <c r="W41" s="144">
        <f>[4]Recap!$E43</f>
        <v>6.6522890152335146E-2</v>
      </c>
      <c r="X41" s="144">
        <f>[5]Recap!$E43</f>
        <v>9.4056723645301196E-2</v>
      </c>
      <c r="Y41" s="144">
        <f>[6]Recap!$E43</f>
        <v>6.9470747893613682E-2</v>
      </c>
      <c r="Z41" s="144">
        <f>[7]Recap!$E43</f>
        <v>6.9443167924320454E-2</v>
      </c>
      <c r="AA41" s="144">
        <f>[8]Recap!$E42</f>
        <v>5.3630869789992895E-2</v>
      </c>
      <c r="AB41" s="144">
        <f>[9]Recap!$E42</f>
        <v>5.3496264048092095E-2</v>
      </c>
      <c r="AC41" s="144">
        <f>[10]Recap!$E42</f>
        <v>5.3201555592726969E-2</v>
      </c>
      <c r="AD41" s="144">
        <f>[11]Recap!$E41</f>
        <v>3.7393264988079683E-2</v>
      </c>
      <c r="AE41" s="144">
        <f>[12]Recap!$E41</f>
        <v>3.8677973882179847E-2</v>
      </c>
      <c r="AF41" s="144">
        <f>[13]Recap!$E41</f>
        <v>1.9238056412671754E-2</v>
      </c>
      <c r="AG41" s="144">
        <f>[14]Recap!$E39</f>
        <v>2.460368651815802E-2</v>
      </c>
      <c r="AH41" s="145">
        <f>[15]Recap!$E39</f>
        <v>2.3250222335773976E-2</v>
      </c>
    </row>
    <row r="42" spans="1:34" s="43" customFormat="1" ht="12.75" x14ac:dyDescent="0.2">
      <c r="A42" s="33">
        <v>2027</v>
      </c>
      <c r="B42" s="142">
        <f>'[1]2027'!Wh_Ppv</f>
        <v>536.5101753131139</v>
      </c>
      <c r="C42" s="142">
        <f>'[2]2027'!Wh_Ppv</f>
        <v>804.37123507936303</v>
      </c>
      <c r="D42" s="142">
        <f>'[3]2027'!Wh_Ppv</f>
        <v>796.47403756397216</v>
      </c>
      <c r="E42" s="142">
        <f>'[4]2027'!Wh_Ppv</f>
        <v>811.56360613949073</v>
      </c>
      <c r="F42" s="142">
        <f>'[5]2027'!Wh_Ppv</f>
        <v>919.3217447480838</v>
      </c>
      <c r="G42" s="142">
        <f>'[6]2027'!Wh_Ppv</f>
        <v>812.66249672611411</v>
      </c>
      <c r="H42" s="142">
        <f>'[7]2027'!Wh_Ppv</f>
        <v>788.06248544614027</v>
      </c>
      <c r="I42" s="142">
        <f>'[8]2027'!Wh_Ppv</f>
        <v>679.98883839074006</v>
      </c>
      <c r="J42" s="142">
        <f>'[9]2027'!Wh_Ppv</f>
        <v>683.49716143450678</v>
      </c>
      <c r="K42" s="142">
        <f>'[10]2027'!Wh_Ppv</f>
        <v>685.61855979628854</v>
      </c>
      <c r="L42" s="142">
        <f>'[11]2027'!Wh_Ppv</f>
        <v>2015.0768102979346</v>
      </c>
      <c r="M42" s="142">
        <f>'[12]2027'!Wh_Ppv</f>
        <v>2017.8227878263424</v>
      </c>
      <c r="N42" s="142">
        <f>'[13]2027'!Wh_Ppv</f>
        <v>961.78793571996357</v>
      </c>
      <c r="O42" s="142">
        <f>'[14]2027'!Wh_Ppv</f>
        <v>1365.5268735230493</v>
      </c>
      <c r="P42" s="143">
        <f>'[15]2027'!Wh_Ppv</f>
        <v>316.34408525554682</v>
      </c>
      <c r="Q42" s="142">
        <f t="shared" si="7"/>
        <v>14194.628833260649</v>
      </c>
      <c r="S42" s="33">
        <v>2027</v>
      </c>
      <c r="T42" s="144">
        <f>[1]Recap!$E44</f>
        <v>7.6283926601934254E-2</v>
      </c>
      <c r="U42" s="144">
        <f>[2]Recap!$E44</f>
        <v>7.5514593793068116E-2</v>
      </c>
      <c r="V42" s="144">
        <f>[3]Recap!$E44</f>
        <v>7.3952812976886689E-2</v>
      </c>
      <c r="W42" s="144">
        <f>[4]Recap!$E44</f>
        <v>7.5118121577415306E-2</v>
      </c>
      <c r="X42" s="144">
        <f>[5]Recap!$E44</f>
        <v>0.10367432368749217</v>
      </c>
      <c r="Y42" s="144">
        <f>[6]Recap!$E44</f>
        <v>7.865495901438925E-2</v>
      </c>
      <c r="Z42" s="144">
        <f>[7]Recap!$E44</f>
        <v>7.8635802664892229E-2</v>
      </c>
      <c r="AA42" s="144">
        <f>[8]Recap!$E43</f>
        <v>6.1040780639100164E-2</v>
      </c>
      <c r="AB42" s="144">
        <f>[9]Recap!$E43</f>
        <v>6.0919031228565623E-2</v>
      </c>
      <c r="AC42" s="144">
        <f>[10]Recap!$E43</f>
        <v>6.0629310540063722E-2</v>
      </c>
      <c r="AD42" s="144">
        <f>[11]Recap!$E42</f>
        <v>4.3130324478984607E-2</v>
      </c>
      <c r="AE42" s="144">
        <f>[12]Recap!$E42</f>
        <v>4.4191561907284176E-2</v>
      </c>
      <c r="AF42" s="144">
        <f>[13]Recap!$E42</f>
        <v>2.2303482485449607E-2</v>
      </c>
      <c r="AG42" s="144">
        <f>[14]Recap!$E40</f>
        <v>2.9751216479014724E-2</v>
      </c>
      <c r="AH42" s="145">
        <f>[15]Recap!$E40</f>
        <v>2.8389010980130108E-2</v>
      </c>
    </row>
    <row r="43" spans="1:34" s="15" customFormat="1" x14ac:dyDescent="0.25">
      <c r="A43" s="90" t="s">
        <v>57</v>
      </c>
      <c r="B43" s="179">
        <f t="shared" ref="B43:H43" si="8">SUM(B33:B42)</f>
        <v>2714.5175251515102</v>
      </c>
      <c r="C43" s="179">
        <f t="shared" si="8"/>
        <v>4042.7305697759684</v>
      </c>
      <c r="D43" s="179">
        <f>SUM(D33:D42)</f>
        <v>4004.9362916695618</v>
      </c>
      <c r="E43" s="179">
        <f t="shared" si="8"/>
        <v>4096.7174414965093</v>
      </c>
      <c r="F43" s="179">
        <f t="shared" si="8"/>
        <v>4916.0545704776951</v>
      </c>
      <c r="G43" s="179">
        <f t="shared" si="8"/>
        <v>3991.6987387320314</v>
      </c>
      <c r="H43" s="179">
        <f t="shared" si="8"/>
        <v>3827.8812251567806</v>
      </c>
      <c r="I43" s="179">
        <f>SUM(I34:I42)</f>
        <v>3197.2105122265548</v>
      </c>
      <c r="J43" s="179">
        <f>SUM(J34:J42)</f>
        <v>3219.6571063051524</v>
      </c>
      <c r="K43" s="179">
        <f>SUM(K34:K42)</f>
        <v>3219.2593809153313</v>
      </c>
      <c r="L43" s="179">
        <f>SUM(L35:L42)</f>
        <v>8721.4276852966505</v>
      </c>
      <c r="M43" s="179">
        <f>SUM(M35:M42)</f>
        <v>8868.9393313455366</v>
      </c>
      <c r="N43" s="179">
        <f>SUM(N35:N42)</f>
        <v>4002.7509306443462</v>
      </c>
      <c r="O43" s="179">
        <f t="shared" ref="O43:P43" si="9">SUM(O35:O42)</f>
        <v>4726.3563897608983</v>
      </c>
      <c r="P43" s="179">
        <f t="shared" si="9"/>
        <v>1048.2351136006437</v>
      </c>
      <c r="Q43" s="127">
        <f>SUM(B43:P43)</f>
        <v>64598.372812555172</v>
      </c>
      <c r="S43" s="90" t="s">
        <v>58</v>
      </c>
      <c r="T43" s="180">
        <f>AVERAGE(T33:T42)</f>
        <v>3.8536782974082653E-2</v>
      </c>
      <c r="U43" s="180">
        <f t="shared" ref="U43:AD43" si="10">AVERAGE(U33:U42)</f>
        <v>3.7859890817886425E-2</v>
      </c>
      <c r="V43" s="180">
        <f>AVERAGE(V33:V42)</f>
        <v>3.6874187254957648E-2</v>
      </c>
      <c r="W43" s="180">
        <f t="shared" si="10"/>
        <v>3.7536951858455854E-2</v>
      </c>
      <c r="X43" s="180">
        <f t="shared" si="10"/>
        <v>5.3991864731107841E-2</v>
      </c>
      <c r="Y43" s="180">
        <f t="shared" si="10"/>
        <v>3.87077635573033E-2</v>
      </c>
      <c r="Z43" s="180">
        <f t="shared" si="10"/>
        <v>3.8685720460782211E-2</v>
      </c>
      <c r="AA43" s="180">
        <f t="shared" si="10"/>
        <v>3.1856291487899847E-2</v>
      </c>
      <c r="AB43" s="180">
        <f t="shared" si="10"/>
        <v>3.1758999170274874E-2</v>
      </c>
      <c r="AC43" s="180">
        <f t="shared" si="10"/>
        <v>3.1519383937524431E-2</v>
      </c>
      <c r="AD43" s="180">
        <f t="shared" si="10"/>
        <v>2.3295073346176365E-2</v>
      </c>
      <c r="AE43" s="180">
        <f>AVERAGE(AE33:AE42)</f>
        <v>2.4125239334834757E-2</v>
      </c>
      <c r="AF43" s="180">
        <f t="shared" ref="AF43:AG43" si="11">AVERAGE(AF33:AF42)</f>
        <v>1.1680625487075245E-2</v>
      </c>
      <c r="AG43" s="180">
        <f t="shared" si="11"/>
        <v>1.7092393564989955E-2</v>
      </c>
      <c r="AH43" s="180">
        <f>AVERAGE(AH33:AH42)</f>
        <v>1.5618135631432902E-2</v>
      </c>
    </row>
    <row r="44" spans="1:34" s="15" customFormat="1" ht="12.75" x14ac:dyDescent="0.2">
      <c r="A44" s="6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127"/>
      <c r="S44" s="68"/>
      <c r="T44" s="9"/>
      <c r="U44" s="9"/>
      <c r="V44" s="9"/>
      <c r="W44" s="9"/>
      <c r="X44" s="9"/>
      <c r="Y44" s="9"/>
      <c r="Z44" s="9"/>
      <c r="AA44" s="181"/>
      <c r="AB44" s="9"/>
      <c r="AC44" s="9"/>
      <c r="AD44" s="181"/>
      <c r="AE44" s="181"/>
      <c r="AF44" s="181"/>
      <c r="AG44" s="181"/>
      <c r="AH44" s="18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43"/>
  <sheetViews>
    <sheetView workbookViewId="0">
      <selection activeCell="L31" sqref="L31"/>
    </sheetView>
  </sheetViews>
  <sheetFormatPr baseColWidth="10" defaultRowHeight="15" x14ac:dyDescent="0.25"/>
  <cols>
    <col min="1" max="1" width="5.7109375" customWidth="1"/>
    <col min="2" max="16" width="8.42578125" style="2" customWidth="1"/>
    <col min="17" max="17" width="1.7109375" style="3" customWidth="1"/>
    <col min="18" max="18" width="5.140625" style="4" customWidth="1"/>
    <col min="19" max="31" width="8.42578125" style="4" customWidth="1"/>
    <col min="32" max="33" width="8.42578125" style="2" customWidth="1"/>
    <col min="34" max="34" width="1.42578125" style="4" customWidth="1"/>
    <col min="35" max="35" width="5.140625" style="4" customWidth="1"/>
    <col min="36" max="48" width="8.42578125" style="4" customWidth="1"/>
    <col min="49" max="50" width="8.42578125" style="2" customWidth="1"/>
  </cols>
  <sheetData>
    <row r="1" spans="1:50" ht="18.75" x14ac:dyDescent="0.3">
      <c r="A1" s="1" t="s">
        <v>0</v>
      </c>
    </row>
    <row r="2" spans="1:50" ht="7.5" customHeight="1" x14ac:dyDescent="0.3">
      <c r="A2" s="1"/>
    </row>
    <row r="3" spans="1:50" ht="15.75" x14ac:dyDescent="0.2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8" t="s">
        <v>2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6"/>
      <c r="AG3" s="6"/>
      <c r="AH3" s="10"/>
      <c r="AI3" s="8" t="s">
        <v>3</v>
      </c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6"/>
      <c r="AX3" s="6"/>
    </row>
    <row r="4" spans="1:50" s="15" customFormat="1" ht="33.75" x14ac:dyDescent="0.2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3"/>
      <c r="R4" s="11" t="s">
        <v>4</v>
      </c>
      <c r="S4" s="12" t="s">
        <v>5</v>
      </c>
      <c r="T4" s="12" t="s">
        <v>6</v>
      </c>
      <c r="U4" s="12" t="s">
        <v>7</v>
      </c>
      <c r="V4" s="12" t="s">
        <v>8</v>
      </c>
      <c r="W4" s="12" t="s">
        <v>9</v>
      </c>
      <c r="X4" s="12" t="s">
        <v>10</v>
      </c>
      <c r="Y4" s="12" t="s">
        <v>11</v>
      </c>
      <c r="Z4" s="12" t="s">
        <v>12</v>
      </c>
      <c r="AA4" s="12" t="s">
        <v>13</v>
      </c>
      <c r="AB4" s="12" t="s">
        <v>14</v>
      </c>
      <c r="AC4" s="12" t="s">
        <v>15</v>
      </c>
      <c r="AD4" s="12" t="s">
        <v>16</v>
      </c>
      <c r="AE4" s="12" t="s">
        <v>17</v>
      </c>
      <c r="AF4" s="12" t="s">
        <v>18</v>
      </c>
      <c r="AG4" s="12" t="s">
        <v>19</v>
      </c>
      <c r="AH4" s="14"/>
      <c r="AI4" s="11" t="s">
        <v>4</v>
      </c>
      <c r="AJ4" s="12" t="s">
        <v>5</v>
      </c>
      <c r="AK4" s="12" t="s">
        <v>6</v>
      </c>
      <c r="AL4" s="12" t="s">
        <v>7</v>
      </c>
      <c r="AM4" s="12" t="s">
        <v>8</v>
      </c>
      <c r="AN4" s="12" t="s">
        <v>9</v>
      </c>
      <c r="AO4" s="12" t="s">
        <v>10</v>
      </c>
      <c r="AP4" s="12" t="s">
        <v>11</v>
      </c>
      <c r="AQ4" s="12" t="s">
        <v>12</v>
      </c>
      <c r="AR4" s="12" t="s">
        <v>13</v>
      </c>
      <c r="AS4" s="12" t="s">
        <v>14</v>
      </c>
      <c r="AT4" s="12" t="s">
        <v>15</v>
      </c>
      <c r="AU4" s="12" t="s">
        <v>16</v>
      </c>
      <c r="AV4" s="12" t="s">
        <v>17</v>
      </c>
      <c r="AW4" s="12" t="s">
        <v>18</v>
      </c>
      <c r="AX4" s="12" t="s">
        <v>19</v>
      </c>
    </row>
    <row r="5" spans="1:50" s="15" customFormat="1" ht="12.75" x14ac:dyDescent="0.2">
      <c r="A5" s="16">
        <v>2018</v>
      </c>
      <c r="B5" s="17">
        <f t="shared" ref="B5:P14" si="0">S5/AJ5</f>
        <v>7.0000000000000007E-2</v>
      </c>
      <c r="C5" s="18">
        <f t="shared" si="0"/>
        <v>4.6666666666666669E-2</v>
      </c>
      <c r="D5" s="18">
        <f t="shared" si="0"/>
        <v>2.6923076923076925E-2</v>
      </c>
      <c r="E5" s="18">
        <f t="shared" si="0"/>
        <v>2.3333333333333334E-2</v>
      </c>
      <c r="F5" s="17">
        <f t="shared" si="0"/>
        <v>6.8000000000000005E-2</v>
      </c>
      <c r="G5" s="18">
        <f t="shared" si="0"/>
        <v>6.8000000000000005E-2</v>
      </c>
      <c r="H5" s="17">
        <f t="shared" si="0"/>
        <v>8.3999999999999991E-2</v>
      </c>
      <c r="I5" s="18"/>
      <c r="J5" s="18"/>
      <c r="K5" s="18"/>
      <c r="L5" s="18"/>
      <c r="M5" s="18"/>
      <c r="N5" s="18"/>
      <c r="O5" s="18"/>
      <c r="P5" s="19"/>
      <c r="Q5" s="20"/>
      <c r="R5" s="21">
        <v>2018</v>
      </c>
      <c r="S5" s="22">
        <f>'[1]2018'!Salim</f>
        <v>0.14000000000000001</v>
      </c>
      <c r="T5" s="22">
        <f>'[2]2018'!Salim</f>
        <v>0.14000000000000001</v>
      </c>
      <c r="U5" s="22">
        <f>'[3]2018'!Salim</f>
        <v>7.0000000000000007E-2</v>
      </c>
      <c r="V5" s="22">
        <f>'[4]2018'!Salim</f>
        <v>7.0000000000000007E-2</v>
      </c>
      <c r="W5" s="22">
        <f>'[5]2018'!Salim</f>
        <v>0.17</v>
      </c>
      <c r="X5" s="22">
        <f>'[6]2018'!Salim</f>
        <v>0.17</v>
      </c>
      <c r="Y5" s="23">
        <f>'[7]2018'!Salim</f>
        <v>0.21</v>
      </c>
      <c r="Z5" s="22"/>
      <c r="AA5" s="22"/>
      <c r="AB5" s="22"/>
      <c r="AC5" s="22"/>
      <c r="AD5" s="22"/>
      <c r="AE5" s="22"/>
      <c r="AF5" s="22"/>
      <c r="AG5" s="19"/>
      <c r="AH5" s="24"/>
      <c r="AI5" s="21">
        <v>2018</v>
      </c>
      <c r="AJ5" s="25">
        <f>'[1]2018'!Tau_j/365</f>
        <v>2</v>
      </c>
      <c r="AK5" s="26">
        <f>'[2]2018'!Tau_j/365</f>
        <v>3</v>
      </c>
      <c r="AL5" s="26">
        <f>'[3]2018'!Tau_j/365</f>
        <v>2.6</v>
      </c>
      <c r="AM5" s="26">
        <f>'[4]2018'!Tau_j/365</f>
        <v>3</v>
      </c>
      <c r="AN5" s="25">
        <f>'[5]2018'!Tau_j/365</f>
        <v>2.5</v>
      </c>
      <c r="AO5" s="26">
        <f>'[6]2018'!Tau_j/365</f>
        <v>2.5</v>
      </c>
      <c r="AP5" s="25">
        <f>'[7]2018'!Tau_j/365</f>
        <v>2.5</v>
      </c>
      <c r="AQ5" s="26"/>
      <c r="AR5" s="26"/>
      <c r="AS5" s="26"/>
      <c r="AT5" s="26"/>
      <c r="AU5" s="26"/>
      <c r="AV5" s="26"/>
      <c r="AW5" s="26"/>
      <c r="AX5" s="27"/>
    </row>
    <row r="6" spans="1:50" s="15" customFormat="1" ht="12.75" x14ac:dyDescent="0.2">
      <c r="A6" s="16">
        <v>2019</v>
      </c>
      <c r="B6" s="17">
        <f t="shared" si="0"/>
        <v>7.0000000000000007E-2</v>
      </c>
      <c r="C6" s="28">
        <f t="shared" si="0"/>
        <v>0.16</v>
      </c>
      <c r="D6" s="18">
        <f t="shared" si="0"/>
        <v>2.6923076923076925E-2</v>
      </c>
      <c r="E6" s="18">
        <f t="shared" si="0"/>
        <v>2.3333333333333334E-2</v>
      </c>
      <c r="F6" s="17">
        <f t="shared" si="0"/>
        <v>6.8000000000000005E-2</v>
      </c>
      <c r="G6" s="18">
        <f t="shared" si="0"/>
        <v>6.8000000000000005E-2</v>
      </c>
      <c r="H6" s="17">
        <f t="shared" si="0"/>
        <v>8.3999999999999991E-2</v>
      </c>
      <c r="I6" s="18">
        <f t="shared" si="0"/>
        <v>2.6666666666666668E-2</v>
      </c>
      <c r="J6" s="18">
        <f t="shared" si="0"/>
        <v>3.3333333333333333E-2</v>
      </c>
      <c r="K6" s="18">
        <f t="shared" si="0"/>
        <v>0.04</v>
      </c>
      <c r="L6" s="18"/>
      <c r="M6" s="18"/>
      <c r="N6" s="18"/>
      <c r="O6" s="18"/>
      <c r="P6" s="29"/>
      <c r="Q6" s="20"/>
      <c r="R6" s="21">
        <v>2019</v>
      </c>
      <c r="S6" s="22">
        <f>'[1]2019'!Salim</f>
        <v>0.14000000000000001</v>
      </c>
      <c r="T6" s="22">
        <f>'[2]2019'!Salim</f>
        <v>0.08</v>
      </c>
      <c r="U6" s="22">
        <f>'[3]2019'!Salim</f>
        <v>7.0000000000000007E-2</v>
      </c>
      <c r="V6" s="22">
        <f>'[4]2019'!Salim</f>
        <v>7.0000000000000007E-2</v>
      </c>
      <c r="W6" s="22">
        <f>'[5]2019'!Salim</f>
        <v>0.17</v>
      </c>
      <c r="X6" s="22">
        <f>'[6]2019'!Salim</f>
        <v>0.17</v>
      </c>
      <c r="Y6" s="23">
        <f>'[7]2019'!Salim</f>
        <v>0.21</v>
      </c>
      <c r="Z6" s="22">
        <f>'[8]2019'!Salim</f>
        <v>0.08</v>
      </c>
      <c r="AA6" s="22">
        <f>'[9]2019'!Salim</f>
        <v>0.1</v>
      </c>
      <c r="AB6" s="22">
        <f>'[10]2019'!Salim</f>
        <v>0.12</v>
      </c>
      <c r="AC6" s="22"/>
      <c r="AD6" s="22"/>
      <c r="AE6" s="22"/>
      <c r="AF6" s="22"/>
      <c r="AG6" s="29"/>
      <c r="AH6" s="24"/>
      <c r="AI6" s="21">
        <v>2019</v>
      </c>
      <c r="AJ6" s="25">
        <f>'[1]2019'!Tau_j/365</f>
        <v>2</v>
      </c>
      <c r="AK6" s="30">
        <f>'[2]2019'!Tau_j/365</f>
        <v>0.5</v>
      </c>
      <c r="AL6" s="26">
        <f>'[3]2019'!Tau_j/365</f>
        <v>2.6</v>
      </c>
      <c r="AM6" s="26">
        <f>'[4]2019'!Tau_j/365</f>
        <v>3</v>
      </c>
      <c r="AN6" s="25">
        <f>'[5]2019'!Tau_j/365</f>
        <v>2.5</v>
      </c>
      <c r="AO6" s="26">
        <f>'[6]2019'!Tau_j/365</f>
        <v>2.5</v>
      </c>
      <c r="AP6" s="25">
        <f>'[7]2019'!Tau_j/365</f>
        <v>2.5</v>
      </c>
      <c r="AQ6" s="26">
        <f>'[8]2019'!Tau_j/365</f>
        <v>3</v>
      </c>
      <c r="AR6" s="26">
        <f>'[9]2019'!Tau_j/365</f>
        <v>3</v>
      </c>
      <c r="AS6" s="26">
        <f>'[10]2019'!Tau_j/365</f>
        <v>3</v>
      </c>
      <c r="AT6" s="26"/>
      <c r="AU6" s="26"/>
      <c r="AV6" s="26"/>
      <c r="AW6" s="26"/>
      <c r="AX6" s="31"/>
    </row>
    <row r="7" spans="1:50" s="15" customFormat="1" ht="12.75" x14ac:dyDescent="0.2">
      <c r="A7" s="16">
        <v>2020</v>
      </c>
      <c r="B7" s="17">
        <f t="shared" si="0"/>
        <v>7.0000000000000007E-2</v>
      </c>
      <c r="C7" s="18">
        <f t="shared" si="0"/>
        <v>0.04</v>
      </c>
      <c r="D7" s="18">
        <f t="shared" si="0"/>
        <v>2.6923076923076925E-2</v>
      </c>
      <c r="E7" s="18">
        <f t="shared" si="0"/>
        <v>3.8333333333333337E-2</v>
      </c>
      <c r="F7" s="17">
        <f t="shared" si="0"/>
        <v>6.8000000000000005E-2</v>
      </c>
      <c r="G7" s="18">
        <f t="shared" si="0"/>
        <v>6.8000000000000005E-2</v>
      </c>
      <c r="H7" s="17">
        <f t="shared" si="0"/>
        <v>0.14000000000000001</v>
      </c>
      <c r="I7" s="18">
        <f t="shared" si="0"/>
        <v>2.6666666666666668E-2</v>
      </c>
      <c r="J7" s="18">
        <f t="shared" si="0"/>
        <v>3.3333333333333333E-2</v>
      </c>
      <c r="K7" s="18">
        <f t="shared" si="0"/>
        <v>3.3333333333333333E-2</v>
      </c>
      <c r="L7" s="18">
        <f t="shared" si="0"/>
        <v>2.4999999999999998E-2</v>
      </c>
      <c r="M7" s="18">
        <f t="shared" si="0"/>
        <v>2.1666666666666667E-2</v>
      </c>
      <c r="N7" s="18">
        <f t="shared" si="0"/>
        <v>1.1666666666666667E-2</v>
      </c>
      <c r="O7" s="18"/>
      <c r="P7" s="29"/>
      <c r="Q7" s="20"/>
      <c r="R7" s="21">
        <v>2020</v>
      </c>
      <c r="S7" s="22">
        <f>'[1]2020'!Salim</f>
        <v>0.14000000000000001</v>
      </c>
      <c r="T7" s="22">
        <f>'[2]2020'!Salim</f>
        <v>0.12</v>
      </c>
      <c r="U7" s="22">
        <f>'[3]2020'!Salim</f>
        <v>7.0000000000000007E-2</v>
      </c>
      <c r="V7" s="22">
        <f>'[4]2020'!Salim</f>
        <v>0.115</v>
      </c>
      <c r="W7" s="22">
        <f>'[5]2020'!Salim</f>
        <v>0.17</v>
      </c>
      <c r="X7" s="22">
        <f>'[6]2020'!Salim</f>
        <v>0.17</v>
      </c>
      <c r="Y7" s="23">
        <f>'[7]2020'!Salim</f>
        <v>0.14000000000000001</v>
      </c>
      <c r="Z7" s="22">
        <f>'[8]2020'!Salim</f>
        <v>0.08</v>
      </c>
      <c r="AA7" s="22">
        <f>'[9]2020'!Salim</f>
        <v>0.1</v>
      </c>
      <c r="AB7" s="22">
        <f>'[10]2020'!Salim</f>
        <v>0.1</v>
      </c>
      <c r="AC7" s="22">
        <f>'[11]2020'!Salim</f>
        <v>7.4999999999999997E-2</v>
      </c>
      <c r="AD7" s="22">
        <f>'[12]2020'!Salim</f>
        <v>6.5000000000000002E-2</v>
      </c>
      <c r="AE7" s="22">
        <f>'[13]2020'!Salim</f>
        <v>3.5000000000000003E-2</v>
      </c>
      <c r="AF7" s="22"/>
      <c r="AG7" s="29"/>
      <c r="AH7" s="24"/>
      <c r="AI7" s="21">
        <v>2020</v>
      </c>
      <c r="AJ7" s="25">
        <f>'[1]2020'!Tau_j/365</f>
        <v>2</v>
      </c>
      <c r="AK7" s="26">
        <f>'[2]2020'!Tau_j/365</f>
        <v>3</v>
      </c>
      <c r="AL7" s="26">
        <f>'[3]2020'!Tau_j/365</f>
        <v>2.6</v>
      </c>
      <c r="AM7" s="26">
        <f>'[4]2020'!Tau_j/365</f>
        <v>3</v>
      </c>
      <c r="AN7" s="25">
        <f>'[5]2020'!Tau_j/365</f>
        <v>2.5</v>
      </c>
      <c r="AO7" s="26">
        <f>'[6]2020'!Tau_j/365</f>
        <v>2.5</v>
      </c>
      <c r="AP7" s="25">
        <f>'[7]2020'!Tau_j/365</f>
        <v>1</v>
      </c>
      <c r="AQ7" s="26">
        <f>'[8]2020'!Tau_j/365</f>
        <v>3</v>
      </c>
      <c r="AR7" s="26">
        <f>'[9]2020'!Tau_j/365</f>
        <v>3</v>
      </c>
      <c r="AS7" s="26">
        <f>'[10]2020'!Tau_j/365</f>
        <v>3</v>
      </c>
      <c r="AT7" s="26">
        <f>'[11]2020'!Tau_j/365</f>
        <v>3</v>
      </c>
      <c r="AU7" s="26">
        <f>'[12]2020'!Tau_j/365</f>
        <v>3</v>
      </c>
      <c r="AV7" s="26">
        <f>'[13]2020'!Tau_j/365</f>
        <v>3</v>
      </c>
      <c r="AW7" s="26"/>
      <c r="AX7" s="31"/>
    </row>
    <row r="8" spans="1:50" s="15" customFormat="1" ht="12.75" x14ac:dyDescent="0.2">
      <c r="A8" s="16">
        <v>2021</v>
      </c>
      <c r="B8" s="17">
        <f t="shared" si="0"/>
        <v>7.4999999999999997E-2</v>
      </c>
      <c r="C8" s="18">
        <f t="shared" si="0"/>
        <v>0.04</v>
      </c>
      <c r="D8" s="18">
        <f t="shared" si="0"/>
        <v>3.0769230769230767E-2</v>
      </c>
      <c r="E8" s="18">
        <f t="shared" si="0"/>
        <v>3.3333333333333333E-2</v>
      </c>
      <c r="F8" s="17">
        <f t="shared" si="0"/>
        <v>0.1</v>
      </c>
      <c r="G8" s="18">
        <f t="shared" si="0"/>
        <v>0.08</v>
      </c>
      <c r="H8" s="17">
        <f t="shared" si="0"/>
        <v>0.19999999999999998</v>
      </c>
      <c r="I8" s="28">
        <f t="shared" si="0"/>
        <v>0.14000000000000001</v>
      </c>
      <c r="J8" s="18">
        <f t="shared" si="0"/>
        <v>4.9999999999999996E-2</v>
      </c>
      <c r="K8" s="28">
        <f t="shared" si="0"/>
        <v>0.125</v>
      </c>
      <c r="L8" s="18">
        <f t="shared" si="0"/>
        <v>2.4999999999999998E-2</v>
      </c>
      <c r="M8" s="28">
        <f t="shared" si="0"/>
        <v>0.125</v>
      </c>
      <c r="N8" s="28">
        <f t="shared" si="0"/>
        <v>1.1666666666666667E-2</v>
      </c>
      <c r="O8" s="28"/>
      <c r="P8" s="29"/>
      <c r="Q8" s="20"/>
      <c r="R8" s="21">
        <v>2021</v>
      </c>
      <c r="S8" s="22">
        <f>'[1]2021'!Salim</f>
        <v>0.15</v>
      </c>
      <c r="T8" s="22">
        <f>'[2]2021'!Salim</f>
        <v>0.12</v>
      </c>
      <c r="U8" s="22">
        <f>'[3]2021'!Salim</f>
        <v>0.08</v>
      </c>
      <c r="V8" s="22">
        <f>'[4]2021'!Salim</f>
        <v>0.1</v>
      </c>
      <c r="W8" s="22">
        <f>'[5]2021'!Salim</f>
        <v>0.2</v>
      </c>
      <c r="X8" s="22">
        <f>'[6]2021'!Salim</f>
        <v>0.2</v>
      </c>
      <c r="Y8" s="23">
        <f>'[7]2021'!Salim</f>
        <v>0.16</v>
      </c>
      <c r="Z8" s="22">
        <f>'[8]2021'!Salim</f>
        <v>0.14000000000000001</v>
      </c>
      <c r="AA8" s="22">
        <f>'[9]2021'!Salim</f>
        <v>0.15</v>
      </c>
      <c r="AB8" s="22">
        <f>'[10]2021'!Salim</f>
        <v>0.15</v>
      </c>
      <c r="AC8" s="22">
        <f>'[11]2021'!Salim</f>
        <v>7.4999999999999997E-2</v>
      </c>
      <c r="AD8" s="22">
        <f>'[12]2021'!Salim</f>
        <v>0.05</v>
      </c>
      <c r="AE8" s="22">
        <f>'[13]2021'!Salim</f>
        <v>3.5000000000000003E-2</v>
      </c>
      <c r="AF8" s="22"/>
      <c r="AG8" s="29"/>
      <c r="AH8" s="24"/>
      <c r="AI8" s="21">
        <v>2021</v>
      </c>
      <c r="AJ8" s="25">
        <f>'[1]2021'!Tau_j/365</f>
        <v>2</v>
      </c>
      <c r="AK8" s="26">
        <f>'[2]2021'!Tau_j/365</f>
        <v>3</v>
      </c>
      <c r="AL8" s="26">
        <f>'[3]2021'!Tau_j/365</f>
        <v>2.6</v>
      </c>
      <c r="AM8" s="26">
        <f>'[4]2021'!Tau_j/365</f>
        <v>3</v>
      </c>
      <c r="AN8" s="25">
        <f>'[5]2021'!Tau_j/365</f>
        <v>2</v>
      </c>
      <c r="AO8" s="26">
        <f>'[6]2021'!Tau_j/365</f>
        <v>2.5</v>
      </c>
      <c r="AP8" s="25">
        <f>'[7]2021'!Tau_j/365</f>
        <v>0.8</v>
      </c>
      <c r="AQ8" s="26">
        <f>'[8]2021'!Tau_j/365</f>
        <v>1</v>
      </c>
      <c r="AR8" s="26">
        <f>'[9]2021'!Tau_j/365</f>
        <v>3</v>
      </c>
      <c r="AS8" s="26">
        <f>'[10]2021'!Tau_j/365</f>
        <v>1.2</v>
      </c>
      <c r="AT8" s="26">
        <f>'[11]2021'!Tau_j/365</f>
        <v>3</v>
      </c>
      <c r="AU8" s="26">
        <f>'[12]2021'!Tau_j/365</f>
        <v>0.4</v>
      </c>
      <c r="AV8" s="26">
        <f>'[13]2021'!Tau_j/365</f>
        <v>3</v>
      </c>
      <c r="AW8" s="26"/>
      <c r="AX8" s="31"/>
    </row>
    <row r="9" spans="1:50" s="15" customFormat="1" ht="12.75" x14ac:dyDescent="0.2">
      <c r="A9" s="16">
        <v>2022</v>
      </c>
      <c r="B9" s="17">
        <f t="shared" si="0"/>
        <v>7.4999999999999997E-2</v>
      </c>
      <c r="C9" s="28">
        <f>T9/AK9</f>
        <v>0.10588235294117647</v>
      </c>
      <c r="D9" s="18">
        <f t="shared" si="0"/>
        <v>4.6153846153846149E-2</v>
      </c>
      <c r="E9" s="18">
        <f t="shared" si="0"/>
        <v>0.05</v>
      </c>
      <c r="F9" s="17">
        <f t="shared" si="0"/>
        <v>0.12142857142857144</v>
      </c>
      <c r="G9" s="18">
        <f t="shared" si="0"/>
        <v>7.1999999999999995E-2</v>
      </c>
      <c r="H9" s="17">
        <f t="shared" si="0"/>
        <v>8.7999999999999995E-2</v>
      </c>
      <c r="I9" s="18">
        <f t="shared" si="0"/>
        <v>2.3333333333333334E-2</v>
      </c>
      <c r="J9" s="18">
        <f t="shared" si="0"/>
        <v>0.04</v>
      </c>
      <c r="K9" s="18">
        <f t="shared" si="0"/>
        <v>3.3333333333333333E-2</v>
      </c>
      <c r="L9" s="18">
        <f t="shared" si="0"/>
        <v>4.9999999999999996E-2</v>
      </c>
      <c r="M9" s="18">
        <f t="shared" si="0"/>
        <v>0.02</v>
      </c>
      <c r="N9" s="28">
        <f t="shared" si="0"/>
        <v>0.122</v>
      </c>
      <c r="O9" s="18">
        <f t="shared" si="0"/>
        <v>2.6666666666666668E-2</v>
      </c>
      <c r="P9" s="29">
        <f t="shared" si="0"/>
        <v>2.6666666666666668E-2</v>
      </c>
      <c r="Q9" s="20"/>
      <c r="R9" s="21">
        <v>2022</v>
      </c>
      <c r="S9" s="22">
        <f>'[1]2022'!Salim</f>
        <v>0.15</v>
      </c>
      <c r="T9" s="22">
        <f>'[2]2022'!Salim</f>
        <v>0.18</v>
      </c>
      <c r="U9" s="22">
        <f>'[3]2022'!Salim</f>
        <v>0.12</v>
      </c>
      <c r="V9" s="22">
        <f>'[4]2022'!Salim</f>
        <v>0.1</v>
      </c>
      <c r="W9" s="22">
        <f>'[5]2022'!Salim</f>
        <v>0.17</v>
      </c>
      <c r="X9" s="22">
        <f>'[6]2022'!Salim</f>
        <v>0.18</v>
      </c>
      <c r="Y9" s="23">
        <f>'[7]2022'!Salim</f>
        <v>0.22</v>
      </c>
      <c r="Z9" s="22">
        <f>'[8]2022'!Salim</f>
        <v>7.0000000000000007E-2</v>
      </c>
      <c r="AA9" s="22">
        <f>'[9]2022'!Salim</f>
        <v>0.08</v>
      </c>
      <c r="AB9" s="22">
        <f>'[10]2022'!Salim</f>
        <v>0.1</v>
      </c>
      <c r="AC9" s="22">
        <f>'[11]2022'!Salim</f>
        <v>0.15</v>
      </c>
      <c r="AD9" s="22">
        <f>'[12]2022'!Salim</f>
        <v>0.06</v>
      </c>
      <c r="AE9" s="22">
        <f>'[13]2022'!Salim</f>
        <v>6.0999999999999999E-2</v>
      </c>
      <c r="AF9" s="22">
        <f>'[14]2022'!Salim</f>
        <v>0.08</v>
      </c>
      <c r="AG9" s="32">
        <f>'[15]2022'!Salim</f>
        <v>0.08</v>
      </c>
      <c r="AH9" s="24"/>
      <c r="AI9" s="21">
        <v>2022</v>
      </c>
      <c r="AJ9" s="25">
        <f>'[1]2022'!Tau_j/365</f>
        <v>2</v>
      </c>
      <c r="AK9" s="26">
        <f>'[2]2022'!Tau_j/365</f>
        <v>1.7</v>
      </c>
      <c r="AL9" s="26">
        <f>'[3]2022'!Tau_j/365</f>
        <v>2.6</v>
      </c>
      <c r="AM9" s="26">
        <f>'[4]2022'!Tau_j/365</f>
        <v>2</v>
      </c>
      <c r="AN9" s="25">
        <f>'[5]2022'!Tau_j/365</f>
        <v>1.4</v>
      </c>
      <c r="AO9" s="26">
        <f>'[6]2022'!Tau_j/365</f>
        <v>2.5</v>
      </c>
      <c r="AP9" s="25">
        <f>'[7]2022'!Tau_j/365</f>
        <v>2.5</v>
      </c>
      <c r="AQ9" s="26">
        <f>'[8]2022'!Tau_j/365</f>
        <v>3</v>
      </c>
      <c r="AR9" s="26">
        <f>'[9]2022'!Tau_j/365</f>
        <v>2</v>
      </c>
      <c r="AS9" s="26">
        <f>'[10]2022'!Tau_j/365</f>
        <v>3</v>
      </c>
      <c r="AT9" s="26">
        <f>'[11]2022'!Tau_j/365</f>
        <v>3</v>
      </c>
      <c r="AU9" s="26">
        <f>'[12]2022'!Tau_j/365</f>
        <v>3</v>
      </c>
      <c r="AV9" s="26">
        <f>'[13]2022'!Tau_j/365</f>
        <v>0.5</v>
      </c>
      <c r="AW9" s="26">
        <f>'[14]2022'!Tau_j/365</f>
        <v>3</v>
      </c>
      <c r="AX9" s="31">
        <f>'[15]2022'!Tau_j/365</f>
        <v>3</v>
      </c>
    </row>
    <row r="10" spans="1:50" s="43" customFormat="1" ht="12.75" x14ac:dyDescent="0.2">
      <c r="A10" s="33">
        <v>2023</v>
      </c>
      <c r="B10" s="34">
        <f t="shared" si="0"/>
        <v>7.3333333333333334E-2</v>
      </c>
      <c r="C10" s="34">
        <f t="shared" si="0"/>
        <v>5.4545454545454536E-2</v>
      </c>
      <c r="D10" s="34">
        <f t="shared" si="0"/>
        <v>3.4615384615384617E-2</v>
      </c>
      <c r="E10" s="34">
        <f t="shared" si="0"/>
        <v>3.9375E-2</v>
      </c>
      <c r="F10" s="34">
        <f t="shared" si="0"/>
        <v>9.152542372881356E-2</v>
      </c>
      <c r="G10" s="34">
        <f t="shared" si="0"/>
        <v>7.3333333333333334E-2</v>
      </c>
      <c r="H10" s="34">
        <f t="shared" si="0"/>
        <v>0.12093023255813956</v>
      </c>
      <c r="I10" s="34">
        <f t="shared" si="0"/>
        <v>4.1428571428571433E-2</v>
      </c>
      <c r="J10" s="34">
        <f t="shared" si="0"/>
        <v>4.1249999999999995E-2</v>
      </c>
      <c r="K10" s="34">
        <f t="shared" si="0"/>
        <v>4.8611111111111105E-2</v>
      </c>
      <c r="L10" s="34">
        <f t="shared" si="0"/>
        <v>3.3333333333333333E-2</v>
      </c>
      <c r="M10" s="34">
        <f t="shared" si="0"/>
        <v>2.7343749999999997E-2</v>
      </c>
      <c r="N10" s="34">
        <f t="shared" si="0"/>
        <v>2.0153846153846154E-2</v>
      </c>
      <c r="O10" s="34">
        <f t="shared" si="0"/>
        <v>2.6666666666666668E-2</v>
      </c>
      <c r="P10" s="35">
        <f t="shared" si="0"/>
        <v>2.6666666666666668E-2</v>
      </c>
      <c r="Q10" s="36"/>
      <c r="R10" s="37">
        <v>2023</v>
      </c>
      <c r="S10" s="38">
        <f>'[1]2023'!Salim</f>
        <v>0.14666666666666667</v>
      </c>
      <c r="T10" s="38">
        <f>'[2]2023'!Salim</f>
        <v>0.13999999999999999</v>
      </c>
      <c r="U10" s="38">
        <f>'[3]2023'!Salim</f>
        <v>9.0000000000000011E-2</v>
      </c>
      <c r="V10" s="38">
        <f>'[4]2023'!Salim</f>
        <v>0.105</v>
      </c>
      <c r="W10" s="38">
        <f>'[5]2023'!Salim</f>
        <v>0.18000000000000002</v>
      </c>
      <c r="X10" s="38">
        <f>'[6]2023'!Salim</f>
        <v>0.18333333333333335</v>
      </c>
      <c r="Y10" s="38">
        <f>'[7]2023'!Salim</f>
        <v>0.17333333333333334</v>
      </c>
      <c r="Z10" s="38">
        <f>'[8]2023'!Salim</f>
        <v>9.6666666666666679E-2</v>
      </c>
      <c r="AA10" s="38">
        <f>'[9]2023'!Salim</f>
        <v>0.10999999999999999</v>
      </c>
      <c r="AB10" s="38">
        <f>'[10]2023'!Salim</f>
        <v>0.11666666666666665</v>
      </c>
      <c r="AC10" s="38">
        <f>'[11]2023'!Salim</f>
        <v>9.9999999999999992E-2</v>
      </c>
      <c r="AD10" s="38">
        <f>'[12]2023'!Salim</f>
        <v>5.8333333333333327E-2</v>
      </c>
      <c r="AE10" s="38">
        <f>'[13]2023'!Salim</f>
        <v>4.3666666666666666E-2</v>
      </c>
      <c r="AF10" s="38">
        <f>'[14]2023'!Salim</f>
        <v>0.08</v>
      </c>
      <c r="AG10" s="39">
        <f>'[15]2023'!Salim</f>
        <v>0.08</v>
      </c>
      <c r="AH10" s="40"/>
      <c r="AI10" s="37">
        <v>2023</v>
      </c>
      <c r="AJ10" s="41">
        <f>'[1]2023'!Tau_j/365</f>
        <v>2</v>
      </c>
      <c r="AK10" s="41">
        <f>'[2]2023'!Tau_j/365</f>
        <v>2.5666666666666669</v>
      </c>
      <c r="AL10" s="41">
        <f>'[3]2023'!Tau_j/365</f>
        <v>2.6</v>
      </c>
      <c r="AM10" s="41">
        <f>'[4]2023'!Tau_j/365</f>
        <v>2.6666666666666665</v>
      </c>
      <c r="AN10" s="41">
        <f>'[5]2023'!Tau_j/365</f>
        <v>1.9666666666666668</v>
      </c>
      <c r="AO10" s="41">
        <f>'[6]2023'!Tau_j/365</f>
        <v>2.5</v>
      </c>
      <c r="AP10" s="41">
        <f>'[7]2023'!Tau_j/365</f>
        <v>1.4333333333333331</v>
      </c>
      <c r="AQ10" s="41">
        <f>'[8]2023'!Tau_j/365</f>
        <v>2.3333333333333335</v>
      </c>
      <c r="AR10" s="41">
        <f>'[9]2023'!Tau_j/365</f>
        <v>2.6666666666666665</v>
      </c>
      <c r="AS10" s="41">
        <f>'[10]2023'!Tau_j/365</f>
        <v>2.4</v>
      </c>
      <c r="AT10" s="41">
        <f>'[11]2023'!Tau_j/365</f>
        <v>3</v>
      </c>
      <c r="AU10" s="41">
        <f>'[12]2023'!Tau_j/365</f>
        <v>2.1333333333333333</v>
      </c>
      <c r="AV10" s="41">
        <f>'[13]2023'!Tau_j/365</f>
        <v>2.1666666666666665</v>
      </c>
      <c r="AW10" s="41">
        <f>'[14]2023'!Tau_j/365</f>
        <v>3</v>
      </c>
      <c r="AX10" s="42">
        <f>'[15]2023'!Tau_j/365</f>
        <v>3</v>
      </c>
    </row>
    <row r="11" spans="1:50" s="43" customFormat="1" ht="12.75" x14ac:dyDescent="0.2">
      <c r="A11" s="33">
        <v>2024</v>
      </c>
      <c r="B11" s="34">
        <f t="shared" si="0"/>
        <v>7.3333333333333334E-2</v>
      </c>
      <c r="C11" s="34">
        <f t="shared" si="0"/>
        <v>5.4545454545454536E-2</v>
      </c>
      <c r="D11" s="34">
        <f t="shared" si="0"/>
        <v>3.4615384615384617E-2</v>
      </c>
      <c r="E11" s="34">
        <f t="shared" si="0"/>
        <v>3.9375E-2</v>
      </c>
      <c r="F11" s="34">
        <f t="shared" si="0"/>
        <v>9.152542372881356E-2</v>
      </c>
      <c r="G11" s="34">
        <f t="shared" si="0"/>
        <v>7.3333333333333334E-2</v>
      </c>
      <c r="H11" s="34">
        <f t="shared" si="0"/>
        <v>0.12093023255813956</v>
      </c>
      <c r="I11" s="34">
        <f t="shared" si="0"/>
        <v>4.1428571428571433E-2</v>
      </c>
      <c r="J11" s="34">
        <f t="shared" si="0"/>
        <v>4.1249999999999995E-2</v>
      </c>
      <c r="K11" s="34">
        <f t="shared" si="0"/>
        <v>4.8611111111111105E-2</v>
      </c>
      <c r="L11" s="34">
        <f t="shared" si="0"/>
        <v>3.3333333333333333E-2</v>
      </c>
      <c r="M11" s="34">
        <f t="shared" si="0"/>
        <v>2.7343749999999997E-2</v>
      </c>
      <c r="N11" s="34">
        <f t="shared" si="0"/>
        <v>2.0153846153846154E-2</v>
      </c>
      <c r="O11" s="34">
        <f t="shared" si="0"/>
        <v>2.6666666666666668E-2</v>
      </c>
      <c r="P11" s="35">
        <f t="shared" si="0"/>
        <v>2.6666666666666668E-2</v>
      </c>
      <c r="Q11" s="36"/>
      <c r="R11" s="37">
        <v>2024</v>
      </c>
      <c r="S11" s="38">
        <f>'[1]2024'!Salim</f>
        <v>0.14666666666666667</v>
      </c>
      <c r="T11" s="38">
        <f>'[2]2024'!Salim</f>
        <v>0.13999999999999999</v>
      </c>
      <c r="U11" s="38">
        <f>'[3]2024'!Salim</f>
        <v>9.0000000000000011E-2</v>
      </c>
      <c r="V11" s="38">
        <f>'[4]2024'!Salim</f>
        <v>0.105</v>
      </c>
      <c r="W11" s="38">
        <f>'[5]2024'!Salim</f>
        <v>0.18000000000000002</v>
      </c>
      <c r="X11" s="38">
        <f>'[6]2024'!Salim</f>
        <v>0.18333333333333335</v>
      </c>
      <c r="Y11" s="38">
        <f>'[7]2024'!Salim</f>
        <v>0.17333333333333334</v>
      </c>
      <c r="Z11" s="38">
        <f>'[8]2024'!Salim</f>
        <v>9.6666666666666679E-2</v>
      </c>
      <c r="AA11" s="38">
        <f>'[9]2024'!Salim</f>
        <v>0.10999999999999999</v>
      </c>
      <c r="AB11" s="38">
        <f>'[10]2024'!Salim</f>
        <v>0.11666666666666665</v>
      </c>
      <c r="AC11" s="38">
        <f>'[11]2024'!Salim</f>
        <v>9.9999999999999992E-2</v>
      </c>
      <c r="AD11" s="38">
        <f>'[12]2024'!Salim</f>
        <v>5.8333333333333327E-2</v>
      </c>
      <c r="AE11" s="38">
        <f>'[13]2024'!Salim</f>
        <v>4.3666666666666666E-2</v>
      </c>
      <c r="AF11" s="38">
        <f>'[14]2024'!Salim</f>
        <v>0.08</v>
      </c>
      <c r="AG11" s="39">
        <f>'[15]2024'!Salim</f>
        <v>0.08</v>
      </c>
      <c r="AH11" s="40"/>
      <c r="AI11" s="37">
        <v>2024</v>
      </c>
      <c r="AJ11" s="41">
        <f>'[1]2024'!Tau_j/365</f>
        <v>2</v>
      </c>
      <c r="AK11" s="41">
        <f>'[2]2024'!Tau_j/365</f>
        <v>2.5666666666666669</v>
      </c>
      <c r="AL11" s="41">
        <f>'[3]2024'!Tau_j/365</f>
        <v>2.6</v>
      </c>
      <c r="AM11" s="41">
        <f>'[4]2024'!Tau_j/365</f>
        <v>2.6666666666666665</v>
      </c>
      <c r="AN11" s="41">
        <f>'[5]2024'!Tau_j/365</f>
        <v>1.9666666666666668</v>
      </c>
      <c r="AO11" s="41">
        <f>'[6]2024'!Tau_j/365</f>
        <v>2.5</v>
      </c>
      <c r="AP11" s="41">
        <f>'[7]2024'!Tau_j/365</f>
        <v>1.4333333333333331</v>
      </c>
      <c r="AQ11" s="41">
        <f>'[8]2024'!Tau_j/365</f>
        <v>2.3333333333333335</v>
      </c>
      <c r="AR11" s="41">
        <f>'[9]2024'!Tau_j/365</f>
        <v>2.6666666666666665</v>
      </c>
      <c r="AS11" s="41">
        <f>'[10]2024'!Tau_j/365</f>
        <v>2.4</v>
      </c>
      <c r="AT11" s="41">
        <f>'[11]2024'!Tau_j/365</f>
        <v>3</v>
      </c>
      <c r="AU11" s="41">
        <f>'[12]2024'!Tau_j/365</f>
        <v>2.1333333333333333</v>
      </c>
      <c r="AV11" s="41">
        <f>'[13]2024'!Tau_j/365</f>
        <v>2.1666666666666665</v>
      </c>
      <c r="AW11" s="41">
        <f>'[14]2024'!Tau_j/365</f>
        <v>3</v>
      </c>
      <c r="AX11" s="42">
        <f>'[15]2024'!Tau_j/365</f>
        <v>3</v>
      </c>
    </row>
    <row r="12" spans="1:50" s="43" customFormat="1" ht="12.75" x14ac:dyDescent="0.2">
      <c r="A12" s="33">
        <v>2025</v>
      </c>
      <c r="B12" s="34">
        <f t="shared" si="0"/>
        <v>7.3333333333333334E-2</v>
      </c>
      <c r="C12" s="34">
        <f t="shared" si="0"/>
        <v>5.4545454545454536E-2</v>
      </c>
      <c r="D12" s="34">
        <f t="shared" si="0"/>
        <v>3.4615384615384617E-2</v>
      </c>
      <c r="E12" s="34">
        <f t="shared" si="0"/>
        <v>3.9375E-2</v>
      </c>
      <c r="F12" s="34">
        <f t="shared" si="0"/>
        <v>9.152542372881356E-2</v>
      </c>
      <c r="G12" s="34">
        <f t="shared" si="0"/>
        <v>7.3333333333333334E-2</v>
      </c>
      <c r="H12" s="34">
        <f t="shared" si="0"/>
        <v>0.12093023255813956</v>
      </c>
      <c r="I12" s="34">
        <f t="shared" si="0"/>
        <v>4.1428571428571433E-2</v>
      </c>
      <c r="J12" s="34">
        <f t="shared" si="0"/>
        <v>4.1249999999999995E-2</v>
      </c>
      <c r="K12" s="34">
        <f t="shared" si="0"/>
        <v>4.8611111111111105E-2</v>
      </c>
      <c r="L12" s="34">
        <f t="shared" si="0"/>
        <v>3.3333333333333333E-2</v>
      </c>
      <c r="M12" s="34">
        <f t="shared" si="0"/>
        <v>2.7343749999999997E-2</v>
      </c>
      <c r="N12" s="34">
        <f t="shared" si="0"/>
        <v>2.0153846153846154E-2</v>
      </c>
      <c r="O12" s="34">
        <f t="shared" si="0"/>
        <v>2.6666666666666668E-2</v>
      </c>
      <c r="P12" s="35">
        <f t="shared" si="0"/>
        <v>2.6666666666666668E-2</v>
      </c>
      <c r="Q12" s="36"/>
      <c r="R12" s="37">
        <v>2025</v>
      </c>
      <c r="S12" s="38">
        <f>'[1]2025'!Salim</f>
        <v>0.14666666666666667</v>
      </c>
      <c r="T12" s="38">
        <f>'[2]2025'!Salim</f>
        <v>0.13999999999999999</v>
      </c>
      <c r="U12" s="38">
        <f>'[3]2025'!Salim</f>
        <v>9.0000000000000011E-2</v>
      </c>
      <c r="V12" s="38">
        <f>'[4]2025'!Salim</f>
        <v>0.105</v>
      </c>
      <c r="W12" s="38">
        <f>'[5]2025'!Salim</f>
        <v>0.18000000000000002</v>
      </c>
      <c r="X12" s="38">
        <f>'[6]2025'!Salim</f>
        <v>0.18333333333333335</v>
      </c>
      <c r="Y12" s="38">
        <f>'[7]2025'!Salim</f>
        <v>0.17333333333333334</v>
      </c>
      <c r="Z12" s="38">
        <f>'[8]2025'!Salim</f>
        <v>9.6666666666666679E-2</v>
      </c>
      <c r="AA12" s="38">
        <f>'[9]2025'!Salim</f>
        <v>0.10999999999999999</v>
      </c>
      <c r="AB12" s="38">
        <f>'[10]2025'!Salim</f>
        <v>0.11666666666666665</v>
      </c>
      <c r="AC12" s="38">
        <f>'[11]2025'!Salim</f>
        <v>9.9999999999999992E-2</v>
      </c>
      <c r="AD12" s="38">
        <f>'[12]2025'!Salim</f>
        <v>5.8333333333333327E-2</v>
      </c>
      <c r="AE12" s="38">
        <f>'[13]2025'!Salim</f>
        <v>4.3666666666666666E-2</v>
      </c>
      <c r="AF12" s="38">
        <f>'[14]2025'!Salim</f>
        <v>0.08</v>
      </c>
      <c r="AG12" s="39">
        <f>'[15]2025'!Salim</f>
        <v>0.08</v>
      </c>
      <c r="AH12" s="40"/>
      <c r="AI12" s="37">
        <v>2025</v>
      </c>
      <c r="AJ12" s="41">
        <f>'[1]2025'!Tau_j/365</f>
        <v>2</v>
      </c>
      <c r="AK12" s="41">
        <f>'[2]2025'!Tau_j/365</f>
        <v>2.5666666666666669</v>
      </c>
      <c r="AL12" s="41">
        <f>'[3]2025'!Tau_j/365</f>
        <v>2.6</v>
      </c>
      <c r="AM12" s="41">
        <f>'[4]2025'!Tau_j/365</f>
        <v>2.6666666666666665</v>
      </c>
      <c r="AN12" s="41">
        <f>'[5]2025'!Tau_j/365</f>
        <v>1.9666666666666668</v>
      </c>
      <c r="AO12" s="41">
        <f>'[6]2025'!Tau_j/365</f>
        <v>2.5</v>
      </c>
      <c r="AP12" s="41">
        <f>'[7]2025'!Tau_j/365</f>
        <v>1.4333333333333331</v>
      </c>
      <c r="AQ12" s="41">
        <f>'[8]2025'!Tau_j/365</f>
        <v>2.3333333333333335</v>
      </c>
      <c r="AR12" s="41">
        <f>'[9]2025'!Tau_j/365</f>
        <v>2.6666666666666665</v>
      </c>
      <c r="AS12" s="41">
        <f>'[10]2025'!Tau_j/365</f>
        <v>2.4</v>
      </c>
      <c r="AT12" s="41">
        <f>'[11]2025'!Tau_j/365</f>
        <v>3</v>
      </c>
      <c r="AU12" s="41">
        <f>'[12]2025'!Tau_j/365</f>
        <v>2.1333333333333333</v>
      </c>
      <c r="AV12" s="41">
        <f>'[13]2025'!Tau_j/365</f>
        <v>2.1666666666666665</v>
      </c>
      <c r="AW12" s="41">
        <f>'[14]2025'!Tau_j/365</f>
        <v>3</v>
      </c>
      <c r="AX12" s="42">
        <f>'[15]2025'!Tau_j/365</f>
        <v>3</v>
      </c>
    </row>
    <row r="13" spans="1:50" s="43" customFormat="1" ht="12.75" x14ac:dyDescent="0.2">
      <c r="A13" s="33">
        <v>2026</v>
      </c>
      <c r="B13" s="34">
        <f t="shared" si="0"/>
        <v>7.3333333333333334E-2</v>
      </c>
      <c r="C13" s="34">
        <f t="shared" si="0"/>
        <v>5.4545454545454536E-2</v>
      </c>
      <c r="D13" s="34">
        <f t="shared" si="0"/>
        <v>3.4615384615384617E-2</v>
      </c>
      <c r="E13" s="34">
        <f t="shared" si="0"/>
        <v>3.9375E-2</v>
      </c>
      <c r="F13" s="34">
        <f t="shared" si="0"/>
        <v>9.152542372881356E-2</v>
      </c>
      <c r="G13" s="34">
        <f t="shared" si="0"/>
        <v>7.3333333333333334E-2</v>
      </c>
      <c r="H13" s="34">
        <f t="shared" si="0"/>
        <v>0.12093023255813956</v>
      </c>
      <c r="I13" s="34">
        <f t="shared" si="0"/>
        <v>4.1428571428571433E-2</v>
      </c>
      <c r="J13" s="34">
        <f t="shared" si="0"/>
        <v>4.1249999999999995E-2</v>
      </c>
      <c r="K13" s="34">
        <f t="shared" si="0"/>
        <v>4.8611111111111105E-2</v>
      </c>
      <c r="L13" s="34">
        <f t="shared" si="0"/>
        <v>3.3333333333333333E-2</v>
      </c>
      <c r="M13" s="34">
        <f t="shared" si="0"/>
        <v>2.7343749999999997E-2</v>
      </c>
      <c r="N13" s="34">
        <f t="shared" si="0"/>
        <v>2.0153846153846154E-2</v>
      </c>
      <c r="O13" s="34">
        <f t="shared" si="0"/>
        <v>2.6666666666666668E-2</v>
      </c>
      <c r="P13" s="35">
        <f t="shared" si="0"/>
        <v>2.6666666666666668E-2</v>
      </c>
      <c r="Q13" s="36"/>
      <c r="R13" s="37">
        <v>2026</v>
      </c>
      <c r="S13" s="38">
        <f>'[1]2026'!Salim</f>
        <v>0.14666666666666667</v>
      </c>
      <c r="T13" s="38">
        <f>'[2]2026'!Salim</f>
        <v>0.13999999999999999</v>
      </c>
      <c r="U13" s="38">
        <f>'[3]2026'!Salim</f>
        <v>9.0000000000000011E-2</v>
      </c>
      <c r="V13" s="38">
        <f>'[4]2026'!Salim</f>
        <v>0.105</v>
      </c>
      <c r="W13" s="38">
        <f>'[5]2026'!Salim</f>
        <v>0.18000000000000002</v>
      </c>
      <c r="X13" s="38">
        <f>'[6]2026'!Salim</f>
        <v>0.18333333333333335</v>
      </c>
      <c r="Y13" s="38">
        <f>'[7]2026'!Salim</f>
        <v>0.17333333333333334</v>
      </c>
      <c r="Z13" s="38">
        <f>'[8]2026'!Salim</f>
        <v>9.6666666666666679E-2</v>
      </c>
      <c r="AA13" s="38">
        <f>'[9]2026'!Salim</f>
        <v>0.10999999999999999</v>
      </c>
      <c r="AB13" s="38">
        <f>'[10]2026'!Salim</f>
        <v>0.11666666666666665</v>
      </c>
      <c r="AC13" s="38">
        <f>'[11]2026'!Salim</f>
        <v>9.9999999999999992E-2</v>
      </c>
      <c r="AD13" s="38">
        <f>'[12]2026'!Salim</f>
        <v>5.8333333333333327E-2</v>
      </c>
      <c r="AE13" s="38">
        <f>'[13]2026'!Salim</f>
        <v>4.3666666666666666E-2</v>
      </c>
      <c r="AF13" s="38">
        <f>'[14]2026'!Salim</f>
        <v>0.08</v>
      </c>
      <c r="AG13" s="39">
        <f>'[15]2026'!Salim</f>
        <v>0.08</v>
      </c>
      <c r="AH13" s="40"/>
      <c r="AI13" s="37">
        <v>2026</v>
      </c>
      <c r="AJ13" s="41">
        <f>'[1]2026'!Tau_j/365</f>
        <v>2</v>
      </c>
      <c r="AK13" s="41">
        <f>'[2]2026'!Tau_j/365</f>
        <v>2.5666666666666669</v>
      </c>
      <c r="AL13" s="41">
        <f>'[3]2026'!Tau_j/365</f>
        <v>2.6</v>
      </c>
      <c r="AM13" s="41">
        <f>'[4]2026'!Tau_j/365</f>
        <v>2.6666666666666665</v>
      </c>
      <c r="AN13" s="41">
        <f>'[5]2026'!Tau_j/365</f>
        <v>1.9666666666666668</v>
      </c>
      <c r="AO13" s="41">
        <f>'[6]2026'!Tau_j/365</f>
        <v>2.5</v>
      </c>
      <c r="AP13" s="41">
        <f>'[7]2026'!Tau_j/365</f>
        <v>1.4333333333333331</v>
      </c>
      <c r="AQ13" s="41">
        <f>'[8]2026'!Tau_j/365</f>
        <v>2.3333333333333335</v>
      </c>
      <c r="AR13" s="41">
        <f>'[9]2026'!Tau_j/365</f>
        <v>2.6666666666666665</v>
      </c>
      <c r="AS13" s="41">
        <f>'[10]2026'!Tau_j/365</f>
        <v>2.4</v>
      </c>
      <c r="AT13" s="41">
        <f>'[11]2026'!Tau_j/365</f>
        <v>3</v>
      </c>
      <c r="AU13" s="41">
        <f>'[12]2026'!Tau_j/365</f>
        <v>2.1333333333333333</v>
      </c>
      <c r="AV13" s="41">
        <f>'[13]2026'!Tau_j/365</f>
        <v>2.1666666666666665</v>
      </c>
      <c r="AW13" s="41">
        <f>'[14]2026'!Tau_j/365</f>
        <v>3</v>
      </c>
      <c r="AX13" s="42">
        <f>'[15]2026'!Tau_j/365</f>
        <v>3</v>
      </c>
    </row>
    <row r="14" spans="1:50" s="43" customFormat="1" ht="12.75" x14ac:dyDescent="0.2">
      <c r="A14" s="44">
        <v>2027</v>
      </c>
      <c r="B14" s="45">
        <f t="shared" si="0"/>
        <v>7.3333333333333334E-2</v>
      </c>
      <c r="C14" s="45">
        <f t="shared" si="0"/>
        <v>5.4545454545454536E-2</v>
      </c>
      <c r="D14" s="45">
        <f t="shared" si="0"/>
        <v>3.4615384615384617E-2</v>
      </c>
      <c r="E14" s="45">
        <f t="shared" si="0"/>
        <v>3.9375E-2</v>
      </c>
      <c r="F14" s="45">
        <f t="shared" si="0"/>
        <v>9.152542372881356E-2</v>
      </c>
      <c r="G14" s="45">
        <f t="shared" si="0"/>
        <v>7.3333333333333334E-2</v>
      </c>
      <c r="H14" s="45">
        <f t="shared" si="0"/>
        <v>0.12093023255813956</v>
      </c>
      <c r="I14" s="45">
        <f t="shared" si="0"/>
        <v>4.1428571428571433E-2</v>
      </c>
      <c r="J14" s="45">
        <f t="shared" si="0"/>
        <v>4.1249999999999995E-2</v>
      </c>
      <c r="K14" s="45">
        <f t="shared" si="0"/>
        <v>4.8611111111111105E-2</v>
      </c>
      <c r="L14" s="45">
        <f t="shared" si="0"/>
        <v>3.3333333333333333E-2</v>
      </c>
      <c r="M14" s="45">
        <f t="shared" si="0"/>
        <v>2.7343749999999997E-2</v>
      </c>
      <c r="N14" s="45">
        <f t="shared" si="0"/>
        <v>2.0153846153846154E-2</v>
      </c>
      <c r="O14" s="45">
        <f t="shared" si="0"/>
        <v>2.6666666666666668E-2</v>
      </c>
      <c r="P14" s="46">
        <f t="shared" si="0"/>
        <v>2.6666666666666668E-2</v>
      </c>
      <c r="Q14" s="36"/>
      <c r="R14" s="47">
        <v>2027</v>
      </c>
      <c r="S14" s="48">
        <f>'[1]2027'!Salim</f>
        <v>0.14666666666666667</v>
      </c>
      <c r="T14" s="48">
        <f>'[2]2027'!Salim</f>
        <v>0.13999999999999999</v>
      </c>
      <c r="U14" s="48">
        <f>'[3]2027'!Salim</f>
        <v>9.0000000000000011E-2</v>
      </c>
      <c r="V14" s="48">
        <f>'[4]2027'!Salim</f>
        <v>0.105</v>
      </c>
      <c r="W14" s="48">
        <f>'[5]2027'!Salim</f>
        <v>0.18000000000000002</v>
      </c>
      <c r="X14" s="48">
        <f>'[6]2027'!Salim</f>
        <v>0.18333333333333335</v>
      </c>
      <c r="Y14" s="48">
        <f>'[7]2027'!Salim</f>
        <v>0.17333333333333334</v>
      </c>
      <c r="Z14" s="48">
        <f>'[8]2027'!Salim</f>
        <v>9.6666666666666679E-2</v>
      </c>
      <c r="AA14" s="48">
        <f>'[9]2027'!Salim</f>
        <v>0.10999999999999999</v>
      </c>
      <c r="AB14" s="48">
        <f>'[10]2027'!Salim</f>
        <v>0.11666666666666665</v>
      </c>
      <c r="AC14" s="48">
        <f>'[11]2027'!Salim</f>
        <v>9.9999999999999992E-2</v>
      </c>
      <c r="AD14" s="48">
        <f>'[12]2027'!Salim</f>
        <v>5.8333333333333327E-2</v>
      </c>
      <c r="AE14" s="48">
        <f>'[13]2027'!Salim</f>
        <v>4.3666666666666666E-2</v>
      </c>
      <c r="AF14" s="48">
        <f>'[14]2027'!Salim</f>
        <v>0.08</v>
      </c>
      <c r="AG14" s="49">
        <f>'[15]2027'!Salim</f>
        <v>0.08</v>
      </c>
      <c r="AH14" s="40"/>
      <c r="AI14" s="47">
        <v>2027</v>
      </c>
      <c r="AJ14" s="50">
        <f>'[1]2027'!Tau_j/365</f>
        <v>2</v>
      </c>
      <c r="AK14" s="50">
        <f>'[2]2027'!Tau_j/365</f>
        <v>2.5666666666666669</v>
      </c>
      <c r="AL14" s="50">
        <f>'[3]2027'!Tau_j/365</f>
        <v>2.6</v>
      </c>
      <c r="AM14" s="50">
        <f>'[4]2027'!Tau_j/365</f>
        <v>2.6666666666666665</v>
      </c>
      <c r="AN14" s="50">
        <f>'[5]2027'!Tau_j/365</f>
        <v>1.9666666666666668</v>
      </c>
      <c r="AO14" s="50">
        <f>'[6]2027'!Tau_j/365</f>
        <v>2.5</v>
      </c>
      <c r="AP14" s="50">
        <f>'[7]2027'!Tau_j/365</f>
        <v>1.4333333333333331</v>
      </c>
      <c r="AQ14" s="50">
        <f>'[8]2027'!Tau_j/365</f>
        <v>2.3333333333333335</v>
      </c>
      <c r="AR14" s="50">
        <f>'[9]2027'!Tau_j/365</f>
        <v>2.6666666666666665</v>
      </c>
      <c r="AS14" s="50">
        <f>'[10]2027'!Tau_j/365</f>
        <v>2.4</v>
      </c>
      <c r="AT14" s="50">
        <f>'[11]2027'!Tau_j/365</f>
        <v>3</v>
      </c>
      <c r="AU14" s="50">
        <f>'[12]2027'!Tau_j/365</f>
        <v>2.1333333333333333</v>
      </c>
      <c r="AV14" s="50">
        <f>'[13]2027'!Tau_j/365</f>
        <v>2.1666666666666665</v>
      </c>
      <c r="AW14" s="50">
        <f>'[14]2027'!Tau_j/365</f>
        <v>3</v>
      </c>
      <c r="AX14" s="51">
        <f>'[15]2027'!Tau_j/365</f>
        <v>3</v>
      </c>
    </row>
    <row r="15" spans="1:50" ht="7.5" customHeight="1" x14ac:dyDescent="0.3">
      <c r="A15" s="1"/>
      <c r="R15" s="52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4"/>
      <c r="AW15" s="4"/>
      <c r="AX15" s="4"/>
    </row>
    <row r="16" spans="1:50" ht="15.75" x14ac:dyDescent="0.25">
      <c r="A16" s="55" t="s">
        <v>20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56" t="s">
        <v>21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0"/>
      <c r="AI16" s="56" t="s">
        <v>22</v>
      </c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</row>
    <row r="17" spans="1:50" s="15" customFormat="1" ht="33.75" x14ac:dyDescent="0.2">
      <c r="A17" s="11" t="s">
        <v>4</v>
      </c>
      <c r="B17" s="12" t="s">
        <v>5</v>
      </c>
      <c r="C17" s="12" t="s">
        <v>6</v>
      </c>
      <c r="D17" s="12" t="s">
        <v>7</v>
      </c>
      <c r="E17" s="12" t="s">
        <v>8</v>
      </c>
      <c r="F17" s="12" t="s">
        <v>9</v>
      </c>
      <c r="G17" s="12" t="s">
        <v>10</v>
      </c>
      <c r="H17" s="12" t="s">
        <v>11</v>
      </c>
      <c r="I17" s="12" t="s">
        <v>12</v>
      </c>
      <c r="J17" s="12" t="s">
        <v>13</v>
      </c>
      <c r="K17" s="12" t="s">
        <v>14</v>
      </c>
      <c r="L17" s="12" t="s">
        <v>15</v>
      </c>
      <c r="M17" s="12" t="s">
        <v>16</v>
      </c>
      <c r="N17" s="12" t="s">
        <v>17</v>
      </c>
      <c r="O17" s="12" t="s">
        <v>18</v>
      </c>
      <c r="P17" s="12" t="s">
        <v>19</v>
      </c>
      <c r="Q17" s="13"/>
      <c r="R17" s="11" t="s">
        <v>4</v>
      </c>
      <c r="S17" s="12" t="s">
        <v>5</v>
      </c>
      <c r="T17" s="12" t="s">
        <v>6</v>
      </c>
      <c r="U17" s="12" t="s">
        <v>7</v>
      </c>
      <c r="V17" s="12" t="s">
        <v>8</v>
      </c>
      <c r="W17" s="12" t="s">
        <v>9</v>
      </c>
      <c r="X17" s="12" t="s">
        <v>10</v>
      </c>
      <c r="Y17" s="12" t="s">
        <v>11</v>
      </c>
      <c r="Z17" s="12" t="s">
        <v>12</v>
      </c>
      <c r="AA17" s="12" t="s">
        <v>13</v>
      </c>
      <c r="AB17" s="12" t="s">
        <v>14</v>
      </c>
      <c r="AC17" s="12" t="s">
        <v>15</v>
      </c>
      <c r="AD17" s="12" t="s">
        <v>16</v>
      </c>
      <c r="AE17" s="12" t="s">
        <v>17</v>
      </c>
      <c r="AF17" s="12" t="s">
        <v>18</v>
      </c>
      <c r="AG17" s="12" t="s">
        <v>19</v>
      </c>
      <c r="AH17" s="14"/>
      <c r="AI17" s="11" t="s">
        <v>4</v>
      </c>
      <c r="AJ17" s="12" t="s">
        <v>5</v>
      </c>
      <c r="AK17" s="12" t="s">
        <v>6</v>
      </c>
      <c r="AL17" s="12" t="s">
        <v>7</v>
      </c>
      <c r="AM17" s="12" t="s">
        <v>8</v>
      </c>
      <c r="AN17" s="12" t="s">
        <v>9</v>
      </c>
      <c r="AO17" s="12" t="s">
        <v>10</v>
      </c>
      <c r="AP17" s="12" t="s">
        <v>11</v>
      </c>
      <c r="AQ17" s="12" t="s">
        <v>12</v>
      </c>
      <c r="AR17" s="12" t="s">
        <v>13</v>
      </c>
      <c r="AS17" s="12" t="s">
        <v>14</v>
      </c>
      <c r="AT17" s="12" t="s">
        <v>15</v>
      </c>
      <c r="AU17" s="12" t="s">
        <v>16</v>
      </c>
      <c r="AV17" s="12" t="s">
        <v>17</v>
      </c>
      <c r="AW17" s="12" t="s">
        <v>18</v>
      </c>
      <c r="AX17" s="12" t="s">
        <v>19</v>
      </c>
    </row>
    <row r="18" spans="1:50" s="68" customFormat="1" ht="12.75" x14ac:dyDescent="0.2">
      <c r="A18" s="16">
        <v>2018</v>
      </c>
      <c r="B18" s="58">
        <f t="shared" ref="B18:P27" si="1">+S18*AJ18</f>
        <v>0.35</v>
      </c>
      <c r="C18" s="58">
        <f t="shared" si="1"/>
        <v>0.35</v>
      </c>
      <c r="D18" s="58">
        <f t="shared" si="1"/>
        <v>0.15</v>
      </c>
      <c r="E18" s="58">
        <f t="shared" si="1"/>
        <v>0.25</v>
      </c>
      <c r="F18" s="59">
        <f t="shared" si="1"/>
        <v>0.48</v>
      </c>
      <c r="G18" s="58">
        <f t="shared" si="1"/>
        <v>0.28000000000000008</v>
      </c>
      <c r="H18" s="60">
        <f t="shared" si="1"/>
        <v>0.70000000000000018</v>
      </c>
      <c r="I18" s="58"/>
      <c r="J18" s="58"/>
      <c r="K18" s="58"/>
      <c r="L18" s="58"/>
      <c r="M18" s="58"/>
      <c r="N18" s="58"/>
      <c r="O18" s="58"/>
      <c r="P18" s="61"/>
      <c r="Q18" s="62"/>
      <c r="R18" s="21">
        <v>2018</v>
      </c>
      <c r="S18" s="63">
        <f>'[1]2018'!PousH</f>
        <v>0.5</v>
      </c>
      <c r="T18" s="63">
        <f>'[2]2018'!PousH</f>
        <v>0.5</v>
      </c>
      <c r="U18" s="63">
        <f>'[3]2018'!PousH</f>
        <v>0.3</v>
      </c>
      <c r="V18" s="63">
        <f>'[4]2018'!PousH</f>
        <v>0.5</v>
      </c>
      <c r="W18" s="63">
        <f>'[5]2018'!PousH</f>
        <v>0.6</v>
      </c>
      <c r="X18" s="63">
        <f>'[6]2018'!PousH</f>
        <v>0.40000000000000013</v>
      </c>
      <c r="Y18" s="63">
        <f>'[7]2018'!PousH</f>
        <v>0.70000000000000018</v>
      </c>
      <c r="Z18" s="63"/>
      <c r="AA18" s="63"/>
      <c r="AB18" s="63"/>
      <c r="AC18" s="63"/>
      <c r="AD18" s="63"/>
      <c r="AE18" s="63"/>
      <c r="AF18" s="63"/>
      <c r="AG18" s="64"/>
      <c r="AH18" s="65"/>
      <c r="AI18" s="21">
        <v>2018</v>
      </c>
      <c r="AJ18" s="66">
        <f>'[1]2018'!Df</f>
        <v>0.7</v>
      </c>
      <c r="AK18" s="66">
        <f>'[2]2018'!Df</f>
        <v>0.7</v>
      </c>
      <c r="AL18" s="66">
        <f>'[3]2018'!Df</f>
        <v>0.5</v>
      </c>
      <c r="AM18" s="66">
        <f>'[4]2018'!Df</f>
        <v>0.5</v>
      </c>
      <c r="AN18" s="66">
        <f>'[5]2018'!Df</f>
        <v>0.8</v>
      </c>
      <c r="AO18" s="66">
        <f>'[6]2018'!Df</f>
        <v>0.7</v>
      </c>
      <c r="AP18" s="66">
        <f>'[7]2018'!Df</f>
        <v>1</v>
      </c>
      <c r="AQ18" s="66"/>
      <c r="AR18" s="66"/>
      <c r="AS18" s="66"/>
      <c r="AT18" s="66"/>
      <c r="AU18" s="66"/>
      <c r="AV18" s="66"/>
      <c r="AW18" s="66"/>
      <c r="AX18" s="67"/>
    </row>
    <row r="19" spans="1:50" s="68" customFormat="1" ht="12.75" x14ac:dyDescent="0.2">
      <c r="A19" s="16">
        <v>2019</v>
      </c>
      <c r="B19" s="58">
        <f t="shared" si="1"/>
        <v>0.27921279108491615</v>
      </c>
      <c r="C19" s="58">
        <f t="shared" si="1"/>
        <v>0.35</v>
      </c>
      <c r="D19" s="58">
        <f t="shared" si="1"/>
        <v>0.15</v>
      </c>
      <c r="E19" s="58">
        <f t="shared" si="1"/>
        <v>0.25</v>
      </c>
      <c r="F19" s="59">
        <f t="shared" si="1"/>
        <v>0.48</v>
      </c>
      <c r="G19" s="58">
        <f t="shared" si="1"/>
        <v>0.28000000000000008</v>
      </c>
      <c r="H19" s="60">
        <f t="shared" si="1"/>
        <v>0.70000000000000018</v>
      </c>
      <c r="I19" s="58">
        <f t="shared" si="1"/>
        <v>0.27999999999999997</v>
      </c>
      <c r="J19" s="58"/>
      <c r="K19" s="58"/>
      <c r="L19" s="58"/>
      <c r="M19" s="58"/>
      <c r="N19" s="58"/>
      <c r="O19" s="58"/>
      <c r="P19" s="69"/>
      <c r="Q19" s="62"/>
      <c r="R19" s="21">
        <v>2019</v>
      </c>
      <c r="S19" s="63">
        <f>'[1]2019'!PousH</f>
        <v>0.39887541583559449</v>
      </c>
      <c r="T19" s="63">
        <f>'[2]2019'!PousH</f>
        <v>0.5</v>
      </c>
      <c r="U19" s="63">
        <f>'[3]2019'!PousH</f>
        <v>0.3</v>
      </c>
      <c r="V19" s="63">
        <f>'[4]2019'!PousH</f>
        <v>0.5</v>
      </c>
      <c r="W19" s="63">
        <f>'[5]2019'!PousH</f>
        <v>0.6</v>
      </c>
      <c r="X19" s="63">
        <f>'[6]2019'!PousH</f>
        <v>0.40000000000000013</v>
      </c>
      <c r="Y19" s="63">
        <f>'[7]2019'!PousH</f>
        <v>0.70000000000000018</v>
      </c>
      <c r="Z19" s="63">
        <f>'[8]2019'!PousH</f>
        <v>0.4</v>
      </c>
      <c r="AA19" s="63">
        <f>'[9]2019'!PousH</f>
        <v>0.5</v>
      </c>
      <c r="AB19" s="63">
        <f>'[10]2019'!PousH</f>
        <v>0.5</v>
      </c>
      <c r="AC19" s="63"/>
      <c r="AD19" s="63"/>
      <c r="AE19" s="63"/>
      <c r="AF19" s="63"/>
      <c r="AG19" s="70"/>
      <c r="AH19" s="65"/>
      <c r="AI19" s="21">
        <v>2019</v>
      </c>
      <c r="AJ19" s="66">
        <f>'[1]2019'!Df</f>
        <v>0.7</v>
      </c>
      <c r="AK19" s="66">
        <f>'[2]2019'!Df</f>
        <v>0.7</v>
      </c>
      <c r="AL19" s="66">
        <f>'[3]2019'!Df</f>
        <v>0.5</v>
      </c>
      <c r="AM19" s="66">
        <f>'[4]2019'!Df</f>
        <v>0.5</v>
      </c>
      <c r="AN19" s="66">
        <f>'[5]2019'!Df</f>
        <v>0.8</v>
      </c>
      <c r="AO19" s="66">
        <f>'[6]2019'!Df</f>
        <v>0.7</v>
      </c>
      <c r="AP19" s="66">
        <f>'[7]2019'!Df</f>
        <v>1</v>
      </c>
      <c r="AQ19" s="66">
        <f>'[8]2019'!Df</f>
        <v>0.7</v>
      </c>
      <c r="AR19" s="66">
        <f>'[9]2019'!Df</f>
        <v>0.6</v>
      </c>
      <c r="AS19" s="66">
        <f>'[10]2019'!Df</f>
        <v>0.6</v>
      </c>
      <c r="AT19" s="66"/>
      <c r="AU19" s="66"/>
      <c r="AV19" s="66"/>
      <c r="AW19" s="66"/>
      <c r="AX19" s="71"/>
    </row>
    <row r="20" spans="1:50" s="68" customFormat="1" ht="12.75" x14ac:dyDescent="0.2">
      <c r="A20" s="16">
        <v>2020</v>
      </c>
      <c r="B20" s="58">
        <f t="shared" si="1"/>
        <v>0.21000004329917024</v>
      </c>
      <c r="C20" s="58">
        <f t="shared" si="1"/>
        <v>0.35</v>
      </c>
      <c r="D20" s="58">
        <f t="shared" si="1"/>
        <v>0.15</v>
      </c>
      <c r="E20" s="58">
        <f t="shared" si="1"/>
        <v>0.25</v>
      </c>
      <c r="F20" s="59">
        <f t="shared" si="1"/>
        <v>0.48</v>
      </c>
      <c r="G20" s="58">
        <f t="shared" si="1"/>
        <v>0.28000000000000008</v>
      </c>
      <c r="H20" s="60">
        <f t="shared" si="1"/>
        <v>0.70000000000000018</v>
      </c>
      <c r="I20" s="58">
        <f t="shared" si="1"/>
        <v>0.27999999999999997</v>
      </c>
      <c r="J20" s="58">
        <f t="shared" si="1"/>
        <v>0.3</v>
      </c>
      <c r="K20" s="58">
        <f t="shared" si="1"/>
        <v>0.3</v>
      </c>
      <c r="L20" s="58">
        <f t="shared" si="1"/>
        <v>0.35</v>
      </c>
      <c r="M20" s="58">
        <f t="shared" si="1"/>
        <v>0.35</v>
      </c>
      <c r="N20" s="58">
        <f t="shared" si="1"/>
        <v>0.35</v>
      </c>
      <c r="O20" s="58"/>
      <c r="P20" s="69"/>
      <c r="Q20" s="62"/>
      <c r="R20" s="21">
        <v>2020</v>
      </c>
      <c r="S20" s="63">
        <f>'[1]2020'!PousH</f>
        <v>0.30000006185595751</v>
      </c>
      <c r="T20" s="63">
        <f>'[2]2020'!PousH</f>
        <v>0.5</v>
      </c>
      <c r="U20" s="63">
        <f>'[3]2020'!PousH</f>
        <v>0.3</v>
      </c>
      <c r="V20" s="63">
        <f>'[4]2020'!PousH</f>
        <v>0.5</v>
      </c>
      <c r="W20" s="63">
        <f>'[5]2020'!PousH</f>
        <v>0.6</v>
      </c>
      <c r="X20" s="63">
        <f>'[6]2020'!PousH</f>
        <v>0.40000000000000013</v>
      </c>
      <c r="Y20" s="63">
        <f>'[7]2020'!PousH</f>
        <v>0.70000000000000018</v>
      </c>
      <c r="Z20" s="63">
        <f>'[8]2020'!PousH</f>
        <v>0.4</v>
      </c>
      <c r="AA20" s="63">
        <f>'[9]2020'!PousH</f>
        <v>0.5</v>
      </c>
      <c r="AB20" s="63">
        <f>'[10]2020'!PousH</f>
        <v>0.5</v>
      </c>
      <c r="AC20" s="63">
        <f>'[11]2020'!PousH</f>
        <v>0.5</v>
      </c>
      <c r="AD20" s="63">
        <f>'[12]2020'!PousH</f>
        <v>0.5</v>
      </c>
      <c r="AE20" s="63">
        <f>'[13]2020'!PousH</f>
        <v>0.5</v>
      </c>
      <c r="AF20" s="63"/>
      <c r="AG20" s="70"/>
      <c r="AH20" s="65"/>
      <c r="AI20" s="21">
        <v>2020</v>
      </c>
      <c r="AJ20" s="66">
        <f>'[1]2020'!Df</f>
        <v>0.7</v>
      </c>
      <c r="AK20" s="66">
        <f>'[2]2020'!Df</f>
        <v>0.7</v>
      </c>
      <c r="AL20" s="66">
        <f>'[3]2020'!Df</f>
        <v>0.5</v>
      </c>
      <c r="AM20" s="66">
        <f>'[4]2020'!Df</f>
        <v>0.5</v>
      </c>
      <c r="AN20" s="66">
        <f>'[5]2020'!Df</f>
        <v>0.8</v>
      </c>
      <c r="AO20" s="66">
        <f>'[6]2020'!Df</f>
        <v>0.7</v>
      </c>
      <c r="AP20" s="66">
        <f>'[7]2020'!Df</f>
        <v>1</v>
      </c>
      <c r="AQ20" s="66">
        <f>'[8]2020'!Df</f>
        <v>0.7</v>
      </c>
      <c r="AR20" s="66">
        <f>'[9]2020'!Df</f>
        <v>0.6</v>
      </c>
      <c r="AS20" s="66">
        <f>'[10]2020'!Df</f>
        <v>0.6</v>
      </c>
      <c r="AT20" s="66">
        <f>'[11]2020'!Df</f>
        <v>0.7</v>
      </c>
      <c r="AU20" s="66">
        <f>'[12]2020'!Df</f>
        <v>0.7</v>
      </c>
      <c r="AV20" s="66">
        <f>'[13]2020'!Df</f>
        <v>0.7</v>
      </c>
      <c r="AW20" s="66"/>
      <c r="AX20" s="71"/>
    </row>
    <row r="21" spans="1:50" s="68" customFormat="1" ht="12.75" x14ac:dyDescent="0.2">
      <c r="A21" s="16">
        <v>2021</v>
      </c>
      <c r="B21" s="58">
        <f t="shared" si="1"/>
        <v>0.21000004329917024</v>
      </c>
      <c r="C21" s="58">
        <f t="shared" si="1"/>
        <v>0.35</v>
      </c>
      <c r="D21" s="58">
        <f t="shared" si="1"/>
        <v>0.15</v>
      </c>
      <c r="E21" s="58">
        <f t="shared" si="1"/>
        <v>0.25</v>
      </c>
      <c r="F21" s="59">
        <f t="shared" si="1"/>
        <v>0.48000000000000009</v>
      </c>
      <c r="G21" s="58">
        <f t="shared" si="1"/>
        <v>0.28000000000000008</v>
      </c>
      <c r="H21" s="60">
        <f t="shared" si="1"/>
        <v>0.70000000000000018</v>
      </c>
      <c r="I21" s="58">
        <f t="shared" si="1"/>
        <v>0.27999999999999997</v>
      </c>
      <c r="J21" s="58">
        <f t="shared" si="1"/>
        <v>0.3</v>
      </c>
      <c r="K21" s="58">
        <f t="shared" si="1"/>
        <v>0.3</v>
      </c>
      <c r="L21" s="58">
        <f t="shared" si="1"/>
        <v>0.35</v>
      </c>
      <c r="M21" s="58">
        <f t="shared" si="1"/>
        <v>0.35</v>
      </c>
      <c r="N21" s="58">
        <f t="shared" si="1"/>
        <v>0.35</v>
      </c>
      <c r="O21" s="58"/>
      <c r="P21" s="69"/>
      <c r="Q21" s="62"/>
      <c r="R21" s="21">
        <v>2021</v>
      </c>
      <c r="S21" s="63">
        <f>'[1]2021'!PousH</f>
        <v>0.30000006185595751</v>
      </c>
      <c r="T21" s="63">
        <f>'[2]2021'!PousH</f>
        <v>0.5</v>
      </c>
      <c r="U21" s="63">
        <f>'[3]2021'!PousH</f>
        <v>0.3</v>
      </c>
      <c r="V21" s="63">
        <f>'[4]2021'!PousH</f>
        <v>0.5</v>
      </c>
      <c r="W21" s="63">
        <f>'[5]2021'!PousH</f>
        <v>0.60000000000000009</v>
      </c>
      <c r="X21" s="63">
        <f>'[6]2021'!PousH</f>
        <v>0.40000000000000013</v>
      </c>
      <c r="Y21" s="63">
        <f>'[7]2021'!PousH</f>
        <v>0.70000000000000018</v>
      </c>
      <c r="Z21" s="63">
        <f>'[8]2021'!PousH</f>
        <v>0.4</v>
      </c>
      <c r="AA21" s="63">
        <f>'[9]2021'!PousH</f>
        <v>0.5</v>
      </c>
      <c r="AB21" s="63">
        <f>'[10]2021'!PousH</f>
        <v>0.5</v>
      </c>
      <c r="AC21" s="63">
        <f>'[11]2021'!PousH</f>
        <v>0.5</v>
      </c>
      <c r="AD21" s="63">
        <f>'[12]2021'!PousH</f>
        <v>0.5</v>
      </c>
      <c r="AE21" s="63">
        <f>'[13]2021'!PousH</f>
        <v>0.5</v>
      </c>
      <c r="AF21" s="63"/>
      <c r="AG21" s="70"/>
      <c r="AH21" s="65"/>
      <c r="AI21" s="21">
        <v>2021</v>
      </c>
      <c r="AJ21" s="66">
        <f>'[1]2021'!Df</f>
        <v>0.7</v>
      </c>
      <c r="AK21" s="66">
        <f>'[2]2021'!Df</f>
        <v>0.7</v>
      </c>
      <c r="AL21" s="66">
        <f>'[3]2021'!Df</f>
        <v>0.5</v>
      </c>
      <c r="AM21" s="66">
        <f>'[4]2021'!Df</f>
        <v>0.5</v>
      </c>
      <c r="AN21" s="66">
        <f>'[5]2021'!Df</f>
        <v>0.8</v>
      </c>
      <c r="AO21" s="66">
        <f>'[6]2021'!Df</f>
        <v>0.7</v>
      </c>
      <c r="AP21" s="66">
        <f>'[7]2021'!Df</f>
        <v>1</v>
      </c>
      <c r="AQ21" s="66">
        <f>'[8]2021'!Df</f>
        <v>0.7</v>
      </c>
      <c r="AR21" s="66">
        <f>'[9]2021'!Df</f>
        <v>0.6</v>
      </c>
      <c r="AS21" s="66">
        <f>'[10]2021'!Df</f>
        <v>0.6</v>
      </c>
      <c r="AT21" s="66">
        <f>'[11]2021'!Df</f>
        <v>0.7</v>
      </c>
      <c r="AU21" s="66">
        <f>'[12]2021'!Df</f>
        <v>0.7</v>
      </c>
      <c r="AV21" s="66">
        <f>'[13]2021'!Df</f>
        <v>0.7</v>
      </c>
      <c r="AW21" s="66"/>
      <c r="AX21" s="71"/>
    </row>
    <row r="22" spans="1:50" s="68" customFormat="1" ht="12.75" x14ac:dyDescent="0.2">
      <c r="A22" s="16">
        <v>2022</v>
      </c>
      <c r="B22" s="58">
        <f t="shared" si="1"/>
        <v>0.21000004329917024</v>
      </c>
      <c r="C22" s="58">
        <f t="shared" si="1"/>
        <v>0.35</v>
      </c>
      <c r="D22" s="58">
        <f t="shared" si="1"/>
        <v>0.15000000000000002</v>
      </c>
      <c r="E22" s="58">
        <f t="shared" si="1"/>
        <v>0.25</v>
      </c>
      <c r="F22" s="59">
        <f t="shared" si="1"/>
        <v>0.48000000000000009</v>
      </c>
      <c r="G22" s="58">
        <f t="shared" si="1"/>
        <v>0.28000000000000008</v>
      </c>
      <c r="H22" s="60">
        <f t="shared" si="1"/>
        <v>0.70000000000000018</v>
      </c>
      <c r="I22" s="58">
        <f t="shared" si="1"/>
        <v>0.27999999999999997</v>
      </c>
      <c r="J22" s="58">
        <f t="shared" si="1"/>
        <v>0.3</v>
      </c>
      <c r="K22" s="58">
        <f t="shared" si="1"/>
        <v>0.3</v>
      </c>
      <c r="L22" s="58">
        <f t="shared" si="1"/>
        <v>0.35</v>
      </c>
      <c r="M22" s="58">
        <f t="shared" si="1"/>
        <v>0.35</v>
      </c>
      <c r="N22" s="58">
        <f t="shared" si="1"/>
        <v>0.35</v>
      </c>
      <c r="O22" s="58">
        <f t="shared" si="1"/>
        <v>0.25</v>
      </c>
      <c r="P22" s="69">
        <f t="shared" si="1"/>
        <v>0.25</v>
      </c>
      <c r="Q22" s="62"/>
      <c r="R22" s="21">
        <v>2022</v>
      </c>
      <c r="S22" s="63">
        <f>'[1]2022'!PousH</f>
        <v>0.30000006185595751</v>
      </c>
      <c r="T22" s="63">
        <f>'[2]2022'!PousH</f>
        <v>0.5</v>
      </c>
      <c r="U22" s="63">
        <f>'[3]2022'!PousH</f>
        <v>0.30000000000000004</v>
      </c>
      <c r="V22" s="63">
        <f>'[4]2022'!PousH</f>
        <v>0.5</v>
      </c>
      <c r="W22" s="63">
        <f>'[5]2022'!PousH</f>
        <v>0.60000000000000009</v>
      </c>
      <c r="X22" s="63">
        <f>'[6]2022'!PousH</f>
        <v>0.40000000000000013</v>
      </c>
      <c r="Y22" s="63">
        <f>'[7]2022'!PousH</f>
        <v>0.70000000000000018</v>
      </c>
      <c r="Z22" s="63">
        <f>'[8]2022'!PousH</f>
        <v>0.4</v>
      </c>
      <c r="AA22" s="63">
        <f>'[9]2022'!PousH</f>
        <v>0.5</v>
      </c>
      <c r="AB22" s="63">
        <f>'[10]2022'!PousH</f>
        <v>0.5</v>
      </c>
      <c r="AC22" s="63">
        <f>'[11]2022'!PousH</f>
        <v>0.5</v>
      </c>
      <c r="AD22" s="63">
        <f>'[12]2022'!PousH</f>
        <v>0.5</v>
      </c>
      <c r="AE22" s="63">
        <f>'[13]2022'!PousH</f>
        <v>0.5</v>
      </c>
      <c r="AF22" s="63">
        <f>'[14]2022'!PousH</f>
        <v>0.5</v>
      </c>
      <c r="AG22" s="70">
        <f>'[15]2022'!PousH</f>
        <v>0.5</v>
      </c>
      <c r="AH22" s="65"/>
      <c r="AI22" s="21">
        <v>2022</v>
      </c>
      <c r="AJ22" s="66">
        <f>'[1]2022'!Df</f>
        <v>0.7</v>
      </c>
      <c r="AK22" s="66">
        <f>'[2]2022'!Df</f>
        <v>0.7</v>
      </c>
      <c r="AL22" s="66">
        <f>'[3]2022'!Df</f>
        <v>0.5</v>
      </c>
      <c r="AM22" s="66">
        <f>'[4]2022'!Df</f>
        <v>0.5</v>
      </c>
      <c r="AN22" s="66">
        <f>'[5]2022'!Df</f>
        <v>0.8</v>
      </c>
      <c r="AO22" s="66">
        <f>'[6]2022'!Df</f>
        <v>0.7</v>
      </c>
      <c r="AP22" s="66">
        <f>'[7]2022'!Df</f>
        <v>1</v>
      </c>
      <c r="AQ22" s="66">
        <f>'[8]2022'!Df</f>
        <v>0.7</v>
      </c>
      <c r="AR22" s="66">
        <f>'[9]2022'!Df</f>
        <v>0.6</v>
      </c>
      <c r="AS22" s="66">
        <f>'[10]2022'!Df</f>
        <v>0.6</v>
      </c>
      <c r="AT22" s="66">
        <f>'[11]2022'!Df</f>
        <v>0.7</v>
      </c>
      <c r="AU22" s="66">
        <f>'[12]2022'!Df</f>
        <v>0.7</v>
      </c>
      <c r="AV22" s="66">
        <f>'[13]2022'!Df</f>
        <v>0.7</v>
      </c>
      <c r="AW22" s="66">
        <f>'[14]2022'!Df</f>
        <v>0.5</v>
      </c>
      <c r="AX22" s="71">
        <f>'[15]2022'!Df</f>
        <v>0.5</v>
      </c>
    </row>
    <row r="23" spans="1:50" s="80" customFormat="1" ht="12.75" x14ac:dyDescent="0.2">
      <c r="A23" s="33">
        <v>2023</v>
      </c>
      <c r="B23" s="72">
        <f t="shared" si="1"/>
        <v>0.21000004329917024</v>
      </c>
      <c r="C23" s="72">
        <f t="shared" si="1"/>
        <v>0.35</v>
      </c>
      <c r="D23" s="72">
        <f t="shared" si="1"/>
        <v>0.15000000000000002</v>
      </c>
      <c r="E23" s="72">
        <f t="shared" si="1"/>
        <v>0.25</v>
      </c>
      <c r="F23" s="73">
        <f t="shared" si="1"/>
        <v>0.48</v>
      </c>
      <c r="G23" s="72">
        <f t="shared" si="1"/>
        <v>0.28000000000000003</v>
      </c>
      <c r="H23" s="74">
        <f t="shared" si="1"/>
        <v>0.70000000000000029</v>
      </c>
      <c r="I23" s="72">
        <f t="shared" si="1"/>
        <v>0.27999999999999997</v>
      </c>
      <c r="J23" s="72">
        <f t="shared" si="1"/>
        <v>0.3</v>
      </c>
      <c r="K23" s="72">
        <f t="shared" si="1"/>
        <v>0.3</v>
      </c>
      <c r="L23" s="72">
        <f t="shared" si="1"/>
        <v>0.35</v>
      </c>
      <c r="M23" s="72">
        <f t="shared" si="1"/>
        <v>0.35</v>
      </c>
      <c r="N23" s="72">
        <f t="shared" si="1"/>
        <v>0.35</v>
      </c>
      <c r="O23" s="72">
        <f t="shared" si="1"/>
        <v>0.24999999999999997</v>
      </c>
      <c r="P23" s="75">
        <f t="shared" si="1"/>
        <v>0.25</v>
      </c>
      <c r="Q23" s="76"/>
      <c r="R23" s="37">
        <v>2023</v>
      </c>
      <c r="S23" s="77">
        <f>'[1]2023'!PousH</f>
        <v>0.30000006185595751</v>
      </c>
      <c r="T23" s="77">
        <f>'[2]2023'!PousH</f>
        <v>0.5</v>
      </c>
      <c r="U23" s="77">
        <f>'[3]2023'!PousH</f>
        <v>0.30000000000000004</v>
      </c>
      <c r="V23" s="77">
        <f>'[4]2023'!PousH</f>
        <v>0.5</v>
      </c>
      <c r="W23" s="77">
        <f>'[5]2023'!PousH</f>
        <v>0.6</v>
      </c>
      <c r="X23" s="77">
        <f>'[6]2023'!PousH</f>
        <v>0.40000000000000008</v>
      </c>
      <c r="Y23" s="77">
        <f>'[7]2023'!PousH</f>
        <v>0.70000000000000029</v>
      </c>
      <c r="Z23" s="77">
        <f>'[8]2023'!PousH</f>
        <v>0.39999999999999997</v>
      </c>
      <c r="AA23" s="77">
        <f>'[9]2023'!PousH</f>
        <v>0.5</v>
      </c>
      <c r="AB23" s="77">
        <f>'[10]2023'!PousH</f>
        <v>0.5</v>
      </c>
      <c r="AC23" s="77">
        <f>'[11]2023'!PousH</f>
        <v>0.5</v>
      </c>
      <c r="AD23" s="77">
        <f>'[12]2023'!PousH</f>
        <v>0.5</v>
      </c>
      <c r="AE23" s="77">
        <f>'[13]2023'!PousH</f>
        <v>0.5</v>
      </c>
      <c r="AF23" s="77">
        <f>'[14]2023'!PousH</f>
        <v>0.49999999999999994</v>
      </c>
      <c r="AG23" s="78">
        <f>'[15]2023'!PousH</f>
        <v>0.5</v>
      </c>
      <c r="AH23" s="79"/>
      <c r="AI23" s="37">
        <v>2023</v>
      </c>
      <c r="AJ23" s="38">
        <f>'[1]2023'!Df</f>
        <v>0.7</v>
      </c>
      <c r="AK23" s="38">
        <f>'[2]2023'!Df</f>
        <v>0.7</v>
      </c>
      <c r="AL23" s="38">
        <f>'[3]2023'!Df</f>
        <v>0.5</v>
      </c>
      <c r="AM23" s="38">
        <f>'[4]2023'!Df</f>
        <v>0.5</v>
      </c>
      <c r="AN23" s="38">
        <f>'[5]2023'!Df</f>
        <v>0.8</v>
      </c>
      <c r="AO23" s="38">
        <f>'[6]2023'!Df</f>
        <v>0.7</v>
      </c>
      <c r="AP23" s="38">
        <f>'[7]2023'!Df</f>
        <v>1</v>
      </c>
      <c r="AQ23" s="38">
        <f>'[8]2023'!Df</f>
        <v>0.7</v>
      </c>
      <c r="AR23" s="38">
        <f>'[9]2023'!Df</f>
        <v>0.6</v>
      </c>
      <c r="AS23" s="38">
        <f>'[10]2023'!Df</f>
        <v>0.6</v>
      </c>
      <c r="AT23" s="38">
        <f>'[11]2023'!Df</f>
        <v>0.7</v>
      </c>
      <c r="AU23" s="38">
        <f>'[12]2023'!Df</f>
        <v>0.7</v>
      </c>
      <c r="AV23" s="38">
        <f>'[13]2023'!Df</f>
        <v>0.7</v>
      </c>
      <c r="AW23" s="38">
        <f>'[14]2023'!Df</f>
        <v>0.5</v>
      </c>
      <c r="AX23" s="39">
        <f>'[15]2023'!Df</f>
        <v>0.5</v>
      </c>
    </row>
    <row r="24" spans="1:50" s="80" customFormat="1" ht="12.75" x14ac:dyDescent="0.2">
      <c r="A24" s="33">
        <v>2024</v>
      </c>
      <c r="B24" s="72">
        <f t="shared" si="1"/>
        <v>0.35</v>
      </c>
      <c r="C24" s="72">
        <f t="shared" si="1"/>
        <v>0.35</v>
      </c>
      <c r="D24" s="72">
        <f t="shared" si="1"/>
        <v>0.15000000000000002</v>
      </c>
      <c r="E24" s="72">
        <f t="shared" si="1"/>
        <v>0.25</v>
      </c>
      <c r="F24" s="73">
        <f t="shared" si="1"/>
        <v>0.48000000000000009</v>
      </c>
      <c r="G24" s="72">
        <f t="shared" si="1"/>
        <v>0.27999999999999992</v>
      </c>
      <c r="H24" s="74">
        <f t="shared" si="1"/>
        <v>0.69999999999999973</v>
      </c>
      <c r="I24" s="72">
        <f t="shared" si="1"/>
        <v>0.27999999999999992</v>
      </c>
      <c r="J24" s="72">
        <f t="shared" si="1"/>
        <v>0.3</v>
      </c>
      <c r="K24" s="72">
        <f t="shared" si="1"/>
        <v>0.3</v>
      </c>
      <c r="L24" s="72">
        <f t="shared" si="1"/>
        <v>0.35</v>
      </c>
      <c r="M24" s="72">
        <f t="shared" si="1"/>
        <v>0.35</v>
      </c>
      <c r="N24" s="72">
        <f t="shared" si="1"/>
        <v>0.35</v>
      </c>
      <c r="O24" s="72">
        <f t="shared" si="1"/>
        <v>0.25</v>
      </c>
      <c r="P24" s="75">
        <f t="shared" si="1"/>
        <v>0.24999999999999994</v>
      </c>
      <c r="Q24" s="76"/>
      <c r="R24" s="37">
        <v>2024</v>
      </c>
      <c r="S24" s="77">
        <f>'[1]2024'!PousH</f>
        <v>0.5</v>
      </c>
      <c r="T24" s="77">
        <f>'[2]2024'!PousH</f>
        <v>0.5</v>
      </c>
      <c r="U24" s="77">
        <f>'[3]2024'!PousH</f>
        <v>0.30000000000000004</v>
      </c>
      <c r="V24" s="77">
        <f>'[4]2024'!PousH</f>
        <v>0.5</v>
      </c>
      <c r="W24" s="77">
        <f>'[5]2024'!PousH</f>
        <v>0.60000000000000009</v>
      </c>
      <c r="X24" s="77">
        <f>'[6]2024'!PousH</f>
        <v>0.39999999999999991</v>
      </c>
      <c r="Y24" s="77">
        <f>'[7]2024'!PousH</f>
        <v>0.69999999999999973</v>
      </c>
      <c r="Z24" s="77">
        <f>'[8]2024'!PousH</f>
        <v>0.39999999999999991</v>
      </c>
      <c r="AA24" s="77">
        <f>'[9]2024'!PousH</f>
        <v>0.5</v>
      </c>
      <c r="AB24" s="77">
        <f>'[10]2024'!PousH</f>
        <v>0.5</v>
      </c>
      <c r="AC24" s="77">
        <f>'[11]2024'!PousH</f>
        <v>0.5</v>
      </c>
      <c r="AD24" s="77">
        <f>'[12]2024'!PousH</f>
        <v>0.5</v>
      </c>
      <c r="AE24" s="77">
        <f>'[13]2024'!PousH</f>
        <v>0.5</v>
      </c>
      <c r="AF24" s="77">
        <f>'[14]2024'!PousH</f>
        <v>0.5</v>
      </c>
      <c r="AG24" s="78">
        <f>'[15]2024'!PousH</f>
        <v>0.49999999999999989</v>
      </c>
      <c r="AH24" s="79"/>
      <c r="AI24" s="37">
        <v>2024</v>
      </c>
      <c r="AJ24" s="38">
        <f>'[1]2024'!Df</f>
        <v>0.7</v>
      </c>
      <c r="AK24" s="38">
        <f>'[2]2024'!Df</f>
        <v>0.7</v>
      </c>
      <c r="AL24" s="38">
        <f>'[3]2024'!Df</f>
        <v>0.5</v>
      </c>
      <c r="AM24" s="38">
        <f>'[4]2024'!Df</f>
        <v>0.5</v>
      </c>
      <c r="AN24" s="38">
        <f>'[5]2024'!Df</f>
        <v>0.8</v>
      </c>
      <c r="AO24" s="38">
        <f>'[6]2024'!Df</f>
        <v>0.7</v>
      </c>
      <c r="AP24" s="38">
        <f>'[7]2024'!Df</f>
        <v>1</v>
      </c>
      <c r="AQ24" s="38">
        <f>'[8]2024'!Df</f>
        <v>0.7</v>
      </c>
      <c r="AR24" s="38">
        <f>'[9]2024'!Df</f>
        <v>0.6</v>
      </c>
      <c r="AS24" s="38">
        <f>'[10]2024'!Df</f>
        <v>0.6</v>
      </c>
      <c r="AT24" s="38">
        <f>'[11]2024'!Df</f>
        <v>0.7</v>
      </c>
      <c r="AU24" s="38">
        <f>'[12]2024'!Df</f>
        <v>0.7</v>
      </c>
      <c r="AV24" s="38">
        <f>'[13]2024'!Df</f>
        <v>0.7</v>
      </c>
      <c r="AW24" s="38">
        <f>'[14]2024'!Df</f>
        <v>0.5</v>
      </c>
      <c r="AX24" s="39">
        <f>'[15]2024'!Df</f>
        <v>0.5</v>
      </c>
    </row>
    <row r="25" spans="1:50" s="80" customFormat="1" ht="12.75" x14ac:dyDescent="0.2">
      <c r="A25" s="33">
        <v>2025</v>
      </c>
      <c r="B25" s="72">
        <f t="shared" si="1"/>
        <v>0.35</v>
      </c>
      <c r="C25" s="72">
        <f t="shared" si="1"/>
        <v>0.35</v>
      </c>
      <c r="D25" s="72">
        <f t="shared" si="1"/>
        <v>0.15000000000000002</v>
      </c>
      <c r="E25" s="72">
        <f t="shared" si="1"/>
        <v>0.25</v>
      </c>
      <c r="F25" s="73">
        <f t="shared" si="1"/>
        <v>0.48000000000000009</v>
      </c>
      <c r="G25" s="72">
        <f t="shared" si="1"/>
        <v>0.27999999999999992</v>
      </c>
      <c r="H25" s="74">
        <f t="shared" si="1"/>
        <v>0.69999999999999973</v>
      </c>
      <c r="I25" s="72">
        <f t="shared" si="1"/>
        <v>0.28000000000000008</v>
      </c>
      <c r="J25" s="72">
        <f t="shared" si="1"/>
        <v>0.3</v>
      </c>
      <c r="K25" s="72">
        <f t="shared" si="1"/>
        <v>0.3</v>
      </c>
      <c r="L25" s="72">
        <f t="shared" si="1"/>
        <v>0.35</v>
      </c>
      <c r="M25" s="72">
        <f t="shared" si="1"/>
        <v>0.35</v>
      </c>
      <c r="N25" s="72">
        <f t="shared" si="1"/>
        <v>0.35000000000000014</v>
      </c>
      <c r="O25" s="72">
        <f t="shared" si="1"/>
        <v>0.25</v>
      </c>
      <c r="P25" s="75">
        <f t="shared" si="1"/>
        <v>0.24999999999999989</v>
      </c>
      <c r="Q25" s="76"/>
      <c r="R25" s="37">
        <v>2025</v>
      </c>
      <c r="S25" s="77">
        <f>'[1]2025'!PousH</f>
        <v>0.5</v>
      </c>
      <c r="T25" s="77">
        <f>'[2]2025'!PousH</f>
        <v>0.5</v>
      </c>
      <c r="U25" s="77">
        <f>'[3]2025'!PousH</f>
        <v>0.30000000000000004</v>
      </c>
      <c r="V25" s="77">
        <f>'[4]2025'!PousH</f>
        <v>0.5</v>
      </c>
      <c r="W25" s="77">
        <f>'[5]2025'!PousH</f>
        <v>0.60000000000000009</v>
      </c>
      <c r="X25" s="77">
        <f>'[6]2025'!PousH</f>
        <v>0.39999999999999991</v>
      </c>
      <c r="Y25" s="77">
        <f>'[7]2025'!PousH</f>
        <v>0.69999999999999973</v>
      </c>
      <c r="Z25" s="77">
        <f>'[8]2025'!PousH</f>
        <v>0.40000000000000013</v>
      </c>
      <c r="AA25" s="77">
        <f>'[9]2025'!PousH</f>
        <v>0.5</v>
      </c>
      <c r="AB25" s="77">
        <f>'[10]2025'!PousH</f>
        <v>0.5</v>
      </c>
      <c r="AC25" s="77">
        <f>'[11]2025'!PousH</f>
        <v>0.5</v>
      </c>
      <c r="AD25" s="77">
        <f>'[12]2025'!PousH</f>
        <v>0.5</v>
      </c>
      <c r="AE25" s="77">
        <f>'[13]2025'!PousH</f>
        <v>0.50000000000000022</v>
      </c>
      <c r="AF25" s="77">
        <f>'[14]2025'!PousH</f>
        <v>0.5</v>
      </c>
      <c r="AG25" s="78">
        <f>'[15]2025'!PousH</f>
        <v>0.49999999999999978</v>
      </c>
      <c r="AH25" s="79"/>
      <c r="AI25" s="37">
        <v>2025</v>
      </c>
      <c r="AJ25" s="38">
        <f>'[1]2025'!Df</f>
        <v>0.7</v>
      </c>
      <c r="AK25" s="38">
        <f>'[2]2025'!Df</f>
        <v>0.7</v>
      </c>
      <c r="AL25" s="38">
        <f>'[3]2025'!Df</f>
        <v>0.5</v>
      </c>
      <c r="AM25" s="38">
        <f>'[4]2025'!Df</f>
        <v>0.5</v>
      </c>
      <c r="AN25" s="38">
        <f>'[5]2025'!Df</f>
        <v>0.8</v>
      </c>
      <c r="AO25" s="38">
        <f>'[6]2025'!Df</f>
        <v>0.7</v>
      </c>
      <c r="AP25" s="38">
        <f>'[7]2025'!Df</f>
        <v>1</v>
      </c>
      <c r="AQ25" s="38">
        <f>'[8]2025'!Df</f>
        <v>0.7</v>
      </c>
      <c r="AR25" s="38">
        <f>'[9]2025'!Df</f>
        <v>0.6</v>
      </c>
      <c r="AS25" s="38">
        <f>'[10]2025'!Df</f>
        <v>0.6</v>
      </c>
      <c r="AT25" s="38">
        <f>'[11]2025'!Df</f>
        <v>0.7</v>
      </c>
      <c r="AU25" s="38">
        <f>'[12]2025'!Df</f>
        <v>0.7</v>
      </c>
      <c r="AV25" s="38">
        <f>'[13]2025'!Df</f>
        <v>0.7</v>
      </c>
      <c r="AW25" s="38">
        <f>'[14]2025'!Df</f>
        <v>0.5</v>
      </c>
      <c r="AX25" s="39">
        <f>'[15]2025'!Df</f>
        <v>0.5</v>
      </c>
    </row>
    <row r="26" spans="1:50" s="80" customFormat="1" ht="12.75" x14ac:dyDescent="0.2">
      <c r="A26" s="33">
        <v>2026</v>
      </c>
      <c r="B26" s="72">
        <f t="shared" si="1"/>
        <v>0.35</v>
      </c>
      <c r="C26" s="72">
        <f t="shared" si="1"/>
        <v>0.35</v>
      </c>
      <c r="D26" s="72">
        <f t="shared" si="1"/>
        <v>0.15</v>
      </c>
      <c r="E26" s="72">
        <f t="shared" si="1"/>
        <v>0.25</v>
      </c>
      <c r="F26" s="73">
        <f t="shared" si="1"/>
        <v>0.48000000000000009</v>
      </c>
      <c r="G26" s="72">
        <f t="shared" si="1"/>
        <v>0.27999999999999997</v>
      </c>
      <c r="H26" s="74">
        <f t="shared" si="1"/>
        <v>0.7</v>
      </c>
      <c r="I26" s="72">
        <f t="shared" si="1"/>
        <v>0.28000000000000008</v>
      </c>
      <c r="J26" s="72">
        <f t="shared" si="1"/>
        <v>0.3</v>
      </c>
      <c r="K26" s="72">
        <f t="shared" si="1"/>
        <v>0.3</v>
      </c>
      <c r="L26" s="72">
        <f t="shared" si="1"/>
        <v>0.35</v>
      </c>
      <c r="M26" s="72">
        <f t="shared" si="1"/>
        <v>0.35</v>
      </c>
      <c r="N26" s="72">
        <f t="shared" si="1"/>
        <v>0.35</v>
      </c>
      <c r="O26" s="72">
        <f t="shared" si="1"/>
        <v>0.25</v>
      </c>
      <c r="P26" s="75">
        <f t="shared" si="1"/>
        <v>0.24999999999999989</v>
      </c>
      <c r="Q26" s="76"/>
      <c r="R26" s="37">
        <v>2026</v>
      </c>
      <c r="S26" s="77">
        <f>'[1]2026'!PousH</f>
        <v>0.5</v>
      </c>
      <c r="T26" s="77">
        <f>'[2]2026'!PousH</f>
        <v>0.5</v>
      </c>
      <c r="U26" s="77">
        <f>'[3]2026'!PousH</f>
        <v>0.3</v>
      </c>
      <c r="V26" s="77">
        <f>'[4]2026'!PousH</f>
        <v>0.5</v>
      </c>
      <c r="W26" s="77">
        <f>'[5]2026'!PousH</f>
        <v>0.60000000000000009</v>
      </c>
      <c r="X26" s="77">
        <f>'[6]2026'!PousH</f>
        <v>0.4</v>
      </c>
      <c r="Y26" s="77">
        <f>'[7]2026'!PousH</f>
        <v>0.7</v>
      </c>
      <c r="Z26" s="77">
        <f>'[8]2026'!PousH</f>
        <v>0.40000000000000013</v>
      </c>
      <c r="AA26" s="77">
        <f>'[9]2026'!PousH</f>
        <v>0.5</v>
      </c>
      <c r="AB26" s="77">
        <f>'[10]2026'!PousH</f>
        <v>0.5</v>
      </c>
      <c r="AC26" s="77">
        <f>'[11]2026'!PousH</f>
        <v>0.5</v>
      </c>
      <c r="AD26" s="77">
        <f>'[12]2026'!PousH</f>
        <v>0.5</v>
      </c>
      <c r="AE26" s="77">
        <f>'[13]2026'!PousH</f>
        <v>0.5</v>
      </c>
      <c r="AF26" s="77">
        <f>'[14]2026'!PousH</f>
        <v>0.5</v>
      </c>
      <c r="AG26" s="78">
        <f>'[15]2026'!PousH</f>
        <v>0.49999999999999978</v>
      </c>
      <c r="AH26" s="79"/>
      <c r="AI26" s="37">
        <v>2026</v>
      </c>
      <c r="AJ26" s="38">
        <f>'[1]2026'!Df</f>
        <v>0.7</v>
      </c>
      <c r="AK26" s="38">
        <f>'[2]2026'!Df</f>
        <v>0.7</v>
      </c>
      <c r="AL26" s="38">
        <f>'[3]2026'!Df</f>
        <v>0.5</v>
      </c>
      <c r="AM26" s="38">
        <f>'[4]2026'!Df</f>
        <v>0.5</v>
      </c>
      <c r="AN26" s="38">
        <f>'[5]2026'!Df</f>
        <v>0.8</v>
      </c>
      <c r="AO26" s="38">
        <f>'[6]2026'!Df</f>
        <v>0.7</v>
      </c>
      <c r="AP26" s="38">
        <f>'[7]2026'!Df</f>
        <v>1</v>
      </c>
      <c r="AQ26" s="38">
        <f>'[8]2026'!Df</f>
        <v>0.7</v>
      </c>
      <c r="AR26" s="38">
        <f>'[9]2026'!Df</f>
        <v>0.6</v>
      </c>
      <c r="AS26" s="38">
        <f>'[10]2026'!Df</f>
        <v>0.6</v>
      </c>
      <c r="AT26" s="38">
        <f>'[11]2026'!Df</f>
        <v>0.7</v>
      </c>
      <c r="AU26" s="38">
        <f>'[12]2026'!Df</f>
        <v>0.7</v>
      </c>
      <c r="AV26" s="38">
        <f>'[13]2026'!Df</f>
        <v>0.7</v>
      </c>
      <c r="AW26" s="38">
        <f>'[14]2026'!Df</f>
        <v>0.5</v>
      </c>
      <c r="AX26" s="39">
        <f>'[15]2026'!Df</f>
        <v>0.5</v>
      </c>
    </row>
    <row r="27" spans="1:50" s="80" customFormat="1" ht="12.75" x14ac:dyDescent="0.2">
      <c r="A27" s="44">
        <v>2027</v>
      </c>
      <c r="B27" s="81">
        <f t="shared" si="1"/>
        <v>0.35</v>
      </c>
      <c r="C27" s="81">
        <f t="shared" si="1"/>
        <v>0.35</v>
      </c>
      <c r="D27" s="81">
        <f t="shared" si="1"/>
        <v>0.15</v>
      </c>
      <c r="E27" s="81">
        <f t="shared" si="1"/>
        <v>0.25</v>
      </c>
      <c r="F27" s="82">
        <f t="shared" si="1"/>
        <v>0.48000000000000009</v>
      </c>
      <c r="G27" s="81">
        <f t="shared" si="1"/>
        <v>0.27999999999999997</v>
      </c>
      <c r="H27" s="83">
        <f t="shared" si="1"/>
        <v>0.7</v>
      </c>
      <c r="I27" s="81">
        <f t="shared" si="1"/>
        <v>0.27999999999999997</v>
      </c>
      <c r="J27" s="81">
        <f t="shared" si="1"/>
        <v>0.3</v>
      </c>
      <c r="K27" s="81">
        <f t="shared" si="1"/>
        <v>0.3</v>
      </c>
      <c r="L27" s="81">
        <f t="shared" si="1"/>
        <v>0.35</v>
      </c>
      <c r="M27" s="81">
        <f t="shared" si="1"/>
        <v>0.35</v>
      </c>
      <c r="N27" s="81">
        <f t="shared" si="1"/>
        <v>0.35</v>
      </c>
      <c r="O27" s="81">
        <f t="shared" si="1"/>
        <v>0.25</v>
      </c>
      <c r="P27" s="84">
        <f t="shared" si="1"/>
        <v>0.24999999999999978</v>
      </c>
      <c r="Q27" s="76"/>
      <c r="R27" s="47">
        <v>2027</v>
      </c>
      <c r="S27" s="85">
        <f>'[1]2027'!PousH</f>
        <v>0.5</v>
      </c>
      <c r="T27" s="85">
        <f>'[2]2027'!PousH</f>
        <v>0.5</v>
      </c>
      <c r="U27" s="85">
        <f>'[3]2027'!PousH</f>
        <v>0.3</v>
      </c>
      <c r="V27" s="85">
        <f>'[4]2027'!PousH</f>
        <v>0.5</v>
      </c>
      <c r="W27" s="85">
        <f>'[5]2027'!PousH</f>
        <v>0.60000000000000009</v>
      </c>
      <c r="X27" s="85">
        <f>'[6]2027'!PousH</f>
        <v>0.4</v>
      </c>
      <c r="Y27" s="85">
        <f>'[7]2027'!PousH</f>
        <v>0.7</v>
      </c>
      <c r="Z27" s="85">
        <f>'[8]2027'!PousH</f>
        <v>0.4</v>
      </c>
      <c r="AA27" s="85">
        <f>'[9]2027'!PousH</f>
        <v>0.5</v>
      </c>
      <c r="AB27" s="85">
        <f>'[10]2027'!PousH</f>
        <v>0.5</v>
      </c>
      <c r="AC27" s="85">
        <f>'[11]2027'!PousH</f>
        <v>0.5</v>
      </c>
      <c r="AD27" s="85">
        <f>'[12]2027'!PousH</f>
        <v>0.5</v>
      </c>
      <c r="AE27" s="85">
        <f>'[13]2027'!PousH</f>
        <v>0.5</v>
      </c>
      <c r="AF27" s="85">
        <f>'[14]2027'!PousH</f>
        <v>0.5</v>
      </c>
      <c r="AG27" s="86">
        <f>'[15]2027'!PousH</f>
        <v>0.49999999999999956</v>
      </c>
      <c r="AH27" s="79"/>
      <c r="AI27" s="47">
        <v>2027</v>
      </c>
      <c r="AJ27" s="48">
        <f>'[1]2027'!Df</f>
        <v>0.7</v>
      </c>
      <c r="AK27" s="48">
        <f>'[2]2027'!Df</f>
        <v>0.7</v>
      </c>
      <c r="AL27" s="48">
        <f>'[3]2027'!Df</f>
        <v>0.5</v>
      </c>
      <c r="AM27" s="48">
        <f>'[4]2027'!Df</f>
        <v>0.5</v>
      </c>
      <c r="AN27" s="48">
        <f>'[5]2027'!Df</f>
        <v>0.8</v>
      </c>
      <c r="AO27" s="48">
        <f>'[6]2027'!Df</f>
        <v>0.7</v>
      </c>
      <c r="AP27" s="48">
        <f>'[7]2027'!Df</f>
        <v>1</v>
      </c>
      <c r="AQ27" s="48">
        <f>'[8]2027'!Df</f>
        <v>0.7</v>
      </c>
      <c r="AR27" s="48">
        <f>'[9]2027'!Df</f>
        <v>0.6</v>
      </c>
      <c r="AS27" s="48">
        <f>'[10]2027'!Df</f>
        <v>0.6</v>
      </c>
      <c r="AT27" s="48">
        <f>'[11]2027'!Df</f>
        <v>0.7</v>
      </c>
      <c r="AU27" s="48">
        <f>'[12]2027'!Df</f>
        <v>0.7</v>
      </c>
      <c r="AV27" s="48">
        <f>'[13]2027'!Df</f>
        <v>0.7</v>
      </c>
      <c r="AW27" s="48">
        <f>'[14]2027'!Df</f>
        <v>0.5</v>
      </c>
      <c r="AX27" s="49">
        <f>'[15]2027'!Df</f>
        <v>0.5</v>
      </c>
    </row>
    <row r="28" spans="1:50" ht="7.5" customHeight="1" x14ac:dyDescent="0.3">
      <c r="A28" s="1"/>
      <c r="R28" s="52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H28" s="54"/>
    </row>
    <row r="29" spans="1:50" ht="15.75" x14ac:dyDescent="0.25">
      <c r="A29" s="87" t="s">
        <v>23</v>
      </c>
    </row>
    <row r="30" spans="1:50" s="15" customFormat="1" ht="33.75" x14ac:dyDescent="0.2">
      <c r="A30" s="88" t="s">
        <v>4</v>
      </c>
      <c r="B30" s="12" t="s">
        <v>5</v>
      </c>
      <c r="C30" s="12" t="s">
        <v>6</v>
      </c>
      <c r="D30" s="12" t="s">
        <v>7</v>
      </c>
      <c r="E30" s="12" t="s">
        <v>8</v>
      </c>
      <c r="F30" s="12" t="s">
        <v>9</v>
      </c>
      <c r="G30" s="12" t="s">
        <v>10</v>
      </c>
      <c r="H30" s="12" t="s">
        <v>11</v>
      </c>
      <c r="I30" s="12" t="s">
        <v>12</v>
      </c>
      <c r="J30" s="12" t="s">
        <v>13</v>
      </c>
      <c r="K30" s="12" t="s">
        <v>14</v>
      </c>
      <c r="L30" s="12" t="s">
        <v>15</v>
      </c>
      <c r="M30" s="12" t="s">
        <v>16</v>
      </c>
      <c r="N30" s="12" t="s">
        <v>17</v>
      </c>
      <c r="O30" s="12" t="s">
        <v>18</v>
      </c>
      <c r="P30" s="12" t="s">
        <v>19</v>
      </c>
      <c r="Q30" s="89"/>
      <c r="S30" s="4"/>
      <c r="T30" s="4" t="s">
        <v>24</v>
      </c>
      <c r="U30" s="52" t="s">
        <v>25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s="15" customFormat="1" x14ac:dyDescent="0.25">
      <c r="A31" s="90" t="s">
        <v>26</v>
      </c>
      <c r="B31" s="91">
        <f>[1]!PertePVan</f>
        <v>8.0000000000000002E-3</v>
      </c>
      <c r="C31" s="91">
        <f>[2]!PertePVan</f>
        <v>8.0000000000000002E-3</v>
      </c>
      <c r="D31" s="91">
        <f>[3]!PertePVan</f>
        <v>8.0000000000000002E-3</v>
      </c>
      <c r="E31" s="91">
        <f>[4]!PertePVan</f>
        <v>8.0000000000000002E-3</v>
      </c>
      <c r="F31" s="92">
        <f>[5]!PertePVan</f>
        <v>8.5000000000000006E-3</v>
      </c>
      <c r="G31" s="92">
        <f>[6]!PertePVan</f>
        <v>8.5000000000000006E-3</v>
      </c>
      <c r="H31" s="92">
        <f>[7]!PertePVan</f>
        <v>8.5000000000000006E-3</v>
      </c>
      <c r="I31" s="93">
        <f>[8]!PertePVan</f>
        <v>7.0000000000000001E-3</v>
      </c>
      <c r="J31" s="93">
        <f>[9]!PertePVan</f>
        <v>7.0000000000000001E-3</v>
      </c>
      <c r="K31" s="93">
        <f>[10]!PertePVan</f>
        <v>7.0000000000000001E-3</v>
      </c>
      <c r="L31" s="93">
        <f>[11]!PertePVan</f>
        <v>5.4999999999999997E-3</v>
      </c>
      <c r="M31" s="93">
        <f>[12]!PertePVan</f>
        <v>5.4999999999999997E-3</v>
      </c>
      <c r="N31" s="93">
        <f>[13]!PertePVan</f>
        <v>3.0000000000000001E-3</v>
      </c>
      <c r="O31" s="93">
        <f>[14]!PertePVan</f>
        <v>5.0000000000000001E-3</v>
      </c>
      <c r="P31" s="93">
        <f>[15]!PertePVan</f>
        <v>5.0000000000000001E-3</v>
      </c>
      <c r="Q31" s="94"/>
      <c r="S31" s="445" t="s">
        <v>27</v>
      </c>
      <c r="T31" s="446"/>
      <c r="U31" s="95" t="s">
        <v>28</v>
      </c>
      <c r="W31" s="96"/>
      <c r="X31" s="96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s="102" customFormat="1" ht="12.75" x14ac:dyDescent="0.2">
      <c r="A32" s="97">
        <v>2018</v>
      </c>
      <c r="B32" s="98">
        <f>'[1]2018'!Pspv</f>
        <v>0</v>
      </c>
      <c r="C32" s="99">
        <f>'[2]2018'!Pspv</f>
        <v>0</v>
      </c>
      <c r="D32" s="99">
        <f>'[3]2018'!Pspv</f>
        <v>0</v>
      </c>
      <c r="E32" s="99">
        <f>'[4]2018'!Pspv</f>
        <v>0</v>
      </c>
      <c r="F32" s="99">
        <f>'[5]2018'!Pspv</f>
        <v>0</v>
      </c>
      <c r="G32" s="99">
        <f>'[6]2018'!Pspv</f>
        <v>0</v>
      </c>
      <c r="H32" s="99">
        <f>'[7]2018'!Pspv</f>
        <v>0</v>
      </c>
      <c r="I32" s="99"/>
      <c r="J32" s="99"/>
      <c r="K32" s="99"/>
      <c r="L32" s="99"/>
      <c r="M32" s="99"/>
      <c r="N32" s="99"/>
      <c r="O32" s="99"/>
      <c r="P32" s="100"/>
      <c r="Q32" s="101"/>
      <c r="S32" s="445" t="s">
        <v>29</v>
      </c>
      <c r="T32" s="446" t="s">
        <v>29</v>
      </c>
      <c r="U32" s="95" t="s">
        <v>30</v>
      </c>
      <c r="W32" s="103"/>
      <c r="X32" s="103"/>
    </row>
    <row r="33" spans="1:50" s="102" customFormat="1" ht="12.75" x14ac:dyDescent="0.2">
      <c r="A33" s="97">
        <v>2019</v>
      </c>
      <c r="B33" s="104">
        <f>'[1]2019'!Pspv</f>
        <v>0</v>
      </c>
      <c r="C33" s="105">
        <f>'[2]2019'!Pspv</f>
        <v>0</v>
      </c>
      <c r="D33" s="105">
        <f>'[3]2019'!Pspv</f>
        <v>0</v>
      </c>
      <c r="E33" s="105">
        <f>'[4]2019'!Pspv</f>
        <v>0</v>
      </c>
      <c r="F33" s="105">
        <f>'[5]2019'!Pspv</f>
        <v>0</v>
      </c>
      <c r="G33" s="105">
        <f>'[6]2019'!Pspv</f>
        <v>0</v>
      </c>
      <c r="H33" s="105">
        <f>'[7]2019'!Pspv</f>
        <v>0</v>
      </c>
      <c r="I33" s="105">
        <f>'[8]2019'!Pspv</f>
        <v>0</v>
      </c>
      <c r="J33" s="105">
        <f>'[9]2019'!Pspv</f>
        <v>0</v>
      </c>
      <c r="K33" s="105">
        <f>'[10]2019'!Pspv</f>
        <v>0</v>
      </c>
      <c r="L33" s="105"/>
      <c r="M33" s="105"/>
      <c r="N33" s="105"/>
      <c r="O33" s="105"/>
      <c r="P33" s="106"/>
      <c r="Q33" s="101"/>
      <c r="S33" s="445" t="s">
        <v>31</v>
      </c>
      <c r="T33" s="446" t="s">
        <v>31</v>
      </c>
      <c r="U33" s="95" t="s">
        <v>30</v>
      </c>
      <c r="W33" s="103"/>
      <c r="X33" s="103"/>
    </row>
    <row r="34" spans="1:50" s="102" customFormat="1" ht="12.75" x14ac:dyDescent="0.2">
      <c r="A34" s="97">
        <v>2020</v>
      </c>
      <c r="B34" s="104">
        <f>'[1]2020'!Pspv</f>
        <v>0</v>
      </c>
      <c r="C34" s="105">
        <f>'[2]2020'!Pspv</f>
        <v>0</v>
      </c>
      <c r="D34" s="105">
        <f>'[3]2020'!Pspv</f>
        <v>0</v>
      </c>
      <c r="E34" s="105">
        <f>'[4]2020'!Pspv</f>
        <v>0</v>
      </c>
      <c r="F34" s="105">
        <f>'[5]2020'!Pspv</f>
        <v>1.1111111111111112E-2</v>
      </c>
      <c r="G34" s="105">
        <f>'[6]2020'!Pspv</f>
        <v>0</v>
      </c>
      <c r="H34" s="105">
        <f>'[7]2020'!Pspv</f>
        <v>0</v>
      </c>
      <c r="I34" s="105">
        <f>'[8]2020'!Pspv</f>
        <v>0</v>
      </c>
      <c r="J34" s="105">
        <f>'[9]2020'!Pspv</f>
        <v>0</v>
      </c>
      <c r="K34" s="105">
        <f>'[10]2020'!Pspv</f>
        <v>0</v>
      </c>
      <c r="L34" s="105">
        <f>'[11]2020'!Pspv</f>
        <v>0</v>
      </c>
      <c r="M34" s="105">
        <f>'[12]2020'!Pspv</f>
        <v>0</v>
      </c>
      <c r="N34" s="105">
        <f>'[13]2020'!Pspv</f>
        <v>0</v>
      </c>
      <c r="O34" s="105"/>
      <c r="P34" s="106"/>
      <c r="Q34" s="101"/>
      <c r="S34" s="445" t="s">
        <v>32</v>
      </c>
      <c r="T34" s="446" t="s">
        <v>32</v>
      </c>
      <c r="U34" s="95" t="s">
        <v>33</v>
      </c>
      <c r="W34" s="103"/>
      <c r="X34" s="103"/>
    </row>
    <row r="35" spans="1:50" s="108" customFormat="1" ht="12.75" x14ac:dyDescent="0.2">
      <c r="A35" s="97">
        <v>2021</v>
      </c>
      <c r="B35" s="104">
        <f>'[1]2021'!Pspv</f>
        <v>0</v>
      </c>
      <c r="C35" s="105">
        <f>'[2]2021'!Pspv</f>
        <v>0</v>
      </c>
      <c r="D35" s="105">
        <f>'[3]2021'!Pspv</f>
        <v>-1.1999999999999999E-3</v>
      </c>
      <c r="E35" s="105">
        <f>'[4]2021'!Pspv</f>
        <v>0</v>
      </c>
      <c r="F35" s="105">
        <f>'[5]2021'!Pspv</f>
        <v>1.1111111111111112E-2</v>
      </c>
      <c r="G35" s="105">
        <f>'[6]2021'!Pspv</f>
        <v>0</v>
      </c>
      <c r="H35" s="105">
        <f>'[7]2021'!Pspv</f>
        <v>0</v>
      </c>
      <c r="I35" s="105">
        <f>'[8]2021'!Pspv</f>
        <v>0</v>
      </c>
      <c r="J35" s="105">
        <f>'[9]2021'!Pspv</f>
        <v>0</v>
      </c>
      <c r="K35" s="105">
        <f>'[10]2021'!Pspv</f>
        <v>0</v>
      </c>
      <c r="L35" s="105">
        <f>'[11]2021'!Pspv</f>
        <v>0</v>
      </c>
      <c r="M35" s="105">
        <f>'[12]2021'!Pspv</f>
        <v>0</v>
      </c>
      <c r="N35" s="105">
        <f>'[13]2021'!Pspv</f>
        <v>0</v>
      </c>
      <c r="O35" s="105"/>
      <c r="P35" s="106"/>
      <c r="Q35" s="107"/>
      <c r="S35" s="445" t="s">
        <v>34</v>
      </c>
      <c r="T35" s="446" t="s">
        <v>34</v>
      </c>
      <c r="U35" s="109" t="s">
        <v>35</v>
      </c>
      <c r="W35" s="103"/>
      <c r="X35" s="103"/>
    </row>
    <row r="36" spans="1:50" s="108" customFormat="1" ht="12.75" x14ac:dyDescent="0.2">
      <c r="A36" s="97">
        <v>2022</v>
      </c>
      <c r="B36" s="104">
        <f>'[1]2022'!Pspv</f>
        <v>0</v>
      </c>
      <c r="C36" s="105">
        <f>'[2]2022'!Pspv</f>
        <v>0</v>
      </c>
      <c r="D36" s="105">
        <f>'[3]2022'!Pspv</f>
        <v>-1.1999999999999999E-3</v>
      </c>
      <c r="E36" s="105">
        <f>'[4]2022'!Pspv</f>
        <v>0</v>
      </c>
      <c r="F36" s="105">
        <f>'[5]2022'!Pspv</f>
        <v>2.1111111111111112E-2</v>
      </c>
      <c r="G36" s="105">
        <f>'[6]2022'!Pspv</f>
        <v>0</v>
      </c>
      <c r="H36" s="105">
        <f>'[7]2022'!Pspv</f>
        <v>0</v>
      </c>
      <c r="I36" s="105">
        <f>'[8]2022'!Pspv</f>
        <v>0</v>
      </c>
      <c r="J36" s="105">
        <f>'[9]2022'!Pspv</f>
        <v>0</v>
      </c>
      <c r="K36" s="105">
        <f>'[10]2022'!Pspv</f>
        <v>0</v>
      </c>
      <c r="L36" s="105">
        <f>'[11]2022'!Pspv</f>
        <v>0</v>
      </c>
      <c r="M36" s="105">
        <f>'[12]2022'!Pspv</f>
        <v>0</v>
      </c>
      <c r="N36" s="105">
        <f>'[13]2022'!Pspv</f>
        <v>0</v>
      </c>
      <c r="O36" s="105">
        <f>'[14]2022'!Pspv</f>
        <v>0</v>
      </c>
      <c r="P36" s="106">
        <f>'[15]2022'!Pspv</f>
        <v>0</v>
      </c>
      <c r="Q36" s="107"/>
      <c r="S36" s="445" t="s">
        <v>36</v>
      </c>
      <c r="T36" s="446" t="s">
        <v>36</v>
      </c>
      <c r="U36" s="95" t="s">
        <v>37</v>
      </c>
      <c r="W36" s="103"/>
      <c r="X36" s="103"/>
    </row>
    <row r="37" spans="1:50" s="108" customFormat="1" ht="12.75" x14ac:dyDescent="0.2">
      <c r="A37" s="110">
        <v>2023</v>
      </c>
      <c r="B37" s="111">
        <f>'[1]2023'!Pspv</f>
        <v>0</v>
      </c>
      <c r="C37" s="112">
        <f>'[2]2023'!Pspv</f>
        <v>0</v>
      </c>
      <c r="D37" s="112">
        <f>'[3]2023'!Pspv</f>
        <v>-1.1999999999999999E-3</v>
      </c>
      <c r="E37" s="112">
        <f>'[4]2023'!Pspv</f>
        <v>0</v>
      </c>
      <c r="F37" s="112">
        <f>'[5]2023'!Pspv</f>
        <v>2.1111111111111112E-2</v>
      </c>
      <c r="G37" s="112">
        <f>'[6]2023'!Pspv</f>
        <v>0</v>
      </c>
      <c r="H37" s="112">
        <f>'[7]2023'!Pspv</f>
        <v>0</v>
      </c>
      <c r="I37" s="112">
        <f>'[8]2023'!Pspv</f>
        <v>0</v>
      </c>
      <c r="J37" s="112">
        <f>'[9]2023'!Pspv</f>
        <v>0</v>
      </c>
      <c r="K37" s="112">
        <f>'[10]2023'!Pspv</f>
        <v>0</v>
      </c>
      <c r="L37" s="112">
        <f>'[11]2023'!Pspv</f>
        <v>0</v>
      </c>
      <c r="M37" s="112">
        <f>'[12]2023'!Pspv</f>
        <v>0</v>
      </c>
      <c r="N37" s="112">
        <f>'[13]2023'!Pspv</f>
        <v>0</v>
      </c>
      <c r="O37" s="112">
        <f>'[14]2023'!Pspv</f>
        <v>0</v>
      </c>
      <c r="P37" s="113">
        <f>'[15]2023'!Pspv</f>
        <v>0</v>
      </c>
      <c r="Q37" s="107"/>
      <c r="S37" s="445" t="s">
        <v>38</v>
      </c>
      <c r="T37" s="446" t="s">
        <v>38</v>
      </c>
      <c r="U37" s="109" t="s">
        <v>39</v>
      </c>
      <c r="W37" s="103"/>
      <c r="X37" s="103"/>
    </row>
    <row r="38" spans="1:50" s="108" customFormat="1" ht="12.75" x14ac:dyDescent="0.2">
      <c r="A38" s="110">
        <v>2024</v>
      </c>
      <c r="B38" s="111">
        <f>'[1]2024'!Pspv</f>
        <v>0</v>
      </c>
      <c r="C38" s="112">
        <f>'[2]2024'!Pspv</f>
        <v>0</v>
      </c>
      <c r="D38" s="112">
        <f>'[3]2024'!Pspv</f>
        <v>-1.1999999999999999E-3</v>
      </c>
      <c r="E38" s="112">
        <f>'[4]2024'!Pspv</f>
        <v>0</v>
      </c>
      <c r="F38" s="112">
        <f>'[5]2024'!Pspv</f>
        <v>2.1111111111111112E-2</v>
      </c>
      <c r="G38" s="112">
        <f>'[6]2024'!Pspv</f>
        <v>0</v>
      </c>
      <c r="H38" s="112">
        <f>'[7]2024'!Pspv</f>
        <v>0</v>
      </c>
      <c r="I38" s="112">
        <f>'[8]2024'!Pspv</f>
        <v>0</v>
      </c>
      <c r="J38" s="112">
        <f>'[9]2024'!Pspv</f>
        <v>0</v>
      </c>
      <c r="K38" s="112">
        <f>'[10]2024'!Pspv</f>
        <v>0</v>
      </c>
      <c r="L38" s="112">
        <f>'[11]2024'!Pspv</f>
        <v>0</v>
      </c>
      <c r="M38" s="112">
        <f>'[12]2024'!Pspv</f>
        <v>0</v>
      </c>
      <c r="N38" s="112">
        <f>'[13]2024'!Pspv</f>
        <v>0</v>
      </c>
      <c r="O38" s="112">
        <f>'[14]2024'!Pspv</f>
        <v>0</v>
      </c>
      <c r="P38" s="113">
        <f>'[15]2024'!Pspv</f>
        <v>0</v>
      </c>
      <c r="Q38" s="107"/>
      <c r="S38" s="445" t="s">
        <v>40</v>
      </c>
      <c r="T38" s="446" t="s">
        <v>40</v>
      </c>
      <c r="U38" s="95" t="s">
        <v>41</v>
      </c>
      <c r="W38" s="103"/>
      <c r="X38" s="103"/>
    </row>
    <row r="39" spans="1:50" s="108" customFormat="1" ht="12.75" x14ac:dyDescent="0.2">
      <c r="A39" s="110">
        <v>2025</v>
      </c>
      <c r="B39" s="111">
        <f>'[1]2025'!Pspv</f>
        <v>0</v>
      </c>
      <c r="C39" s="112">
        <f>'[2]2025'!Pspv</f>
        <v>0</v>
      </c>
      <c r="D39" s="112">
        <f>'[3]2025'!Pspv</f>
        <v>-1.1999999999999999E-3</v>
      </c>
      <c r="E39" s="112">
        <f>'[4]2025'!Pspv</f>
        <v>0</v>
      </c>
      <c r="F39" s="112">
        <f>'[5]2025'!Pspv</f>
        <v>2.1111111111111112E-2</v>
      </c>
      <c r="G39" s="112">
        <f>'[6]2025'!Pspv</f>
        <v>0</v>
      </c>
      <c r="H39" s="112">
        <f>'[7]2025'!Pspv</f>
        <v>0</v>
      </c>
      <c r="I39" s="112">
        <f>'[8]2025'!Pspv</f>
        <v>0</v>
      </c>
      <c r="J39" s="112">
        <f>'[9]2025'!Pspv</f>
        <v>0</v>
      </c>
      <c r="K39" s="112">
        <f>'[10]2025'!Pspv</f>
        <v>0</v>
      </c>
      <c r="L39" s="112">
        <f>'[11]2025'!Pspv</f>
        <v>0</v>
      </c>
      <c r="M39" s="112">
        <f>'[12]2025'!Pspv</f>
        <v>0</v>
      </c>
      <c r="N39" s="112">
        <f>'[13]2025'!Pspv</f>
        <v>0</v>
      </c>
      <c r="O39" s="112">
        <f>'[14]2025'!Pspv</f>
        <v>0</v>
      </c>
      <c r="P39" s="113">
        <f>'[15]2025'!Pspv</f>
        <v>0</v>
      </c>
      <c r="Q39" s="107"/>
      <c r="S39" s="445" t="s">
        <v>42</v>
      </c>
      <c r="T39" s="446" t="s">
        <v>42</v>
      </c>
      <c r="U39" s="95" t="s">
        <v>43</v>
      </c>
      <c r="W39" s="103"/>
      <c r="X39" s="103"/>
    </row>
    <row r="40" spans="1:50" s="108" customFormat="1" ht="12.75" x14ac:dyDescent="0.2">
      <c r="A40" s="110">
        <v>2026</v>
      </c>
      <c r="B40" s="111">
        <f>'[1]2026'!Pspv</f>
        <v>0</v>
      </c>
      <c r="C40" s="112">
        <f>'[2]2026'!Pspv</f>
        <v>0</v>
      </c>
      <c r="D40" s="112">
        <f>'[3]2026'!Pspv</f>
        <v>-1.1999999999999999E-3</v>
      </c>
      <c r="E40" s="112">
        <f>'[4]2026'!Pspv</f>
        <v>0</v>
      </c>
      <c r="F40" s="112">
        <f>'[5]2026'!Pspv</f>
        <v>2.1111111111111112E-2</v>
      </c>
      <c r="G40" s="112">
        <f>'[6]2026'!Pspv</f>
        <v>0</v>
      </c>
      <c r="H40" s="112">
        <f>'[7]2026'!Pspv</f>
        <v>0</v>
      </c>
      <c r="I40" s="112">
        <f>'[8]2026'!Pspv</f>
        <v>0</v>
      </c>
      <c r="J40" s="112">
        <f>'[9]2026'!Pspv</f>
        <v>0</v>
      </c>
      <c r="K40" s="112">
        <f>'[10]2026'!Pspv</f>
        <v>0</v>
      </c>
      <c r="L40" s="112">
        <f>'[11]2026'!Pspv</f>
        <v>0</v>
      </c>
      <c r="M40" s="112">
        <f>'[12]2026'!Pspv</f>
        <v>0</v>
      </c>
      <c r="N40" s="112">
        <f>'[13]2026'!Pspv</f>
        <v>0</v>
      </c>
      <c r="O40" s="112">
        <f>'[14]2026'!Pspv</f>
        <v>0</v>
      </c>
      <c r="P40" s="113">
        <f>'[15]2026'!Pspv</f>
        <v>0</v>
      </c>
      <c r="Q40" s="107"/>
      <c r="S40" s="445" t="s">
        <v>44</v>
      </c>
      <c r="T40" s="446" t="s">
        <v>45</v>
      </c>
      <c r="U40" s="95" t="s">
        <v>46</v>
      </c>
      <c r="W40" s="103"/>
      <c r="X40" s="103"/>
    </row>
    <row r="41" spans="1:50" s="102" customFormat="1" ht="12.75" x14ac:dyDescent="0.2">
      <c r="A41" s="110">
        <v>2027</v>
      </c>
      <c r="B41" s="114">
        <f>'[1]2027'!Pspv</f>
        <v>0</v>
      </c>
      <c r="C41" s="115">
        <f>'[2]2027'!Pspv</f>
        <v>0</v>
      </c>
      <c r="D41" s="115">
        <f>'[3]2027'!Pspv</f>
        <v>-1.1999999999999999E-3</v>
      </c>
      <c r="E41" s="115">
        <f>'[4]2027'!Pspv</f>
        <v>0</v>
      </c>
      <c r="F41" s="115">
        <f>'[5]2027'!Pspv</f>
        <v>2.1111111111111112E-2</v>
      </c>
      <c r="G41" s="115">
        <f>'[6]2027'!Pspv</f>
        <v>0</v>
      </c>
      <c r="H41" s="115">
        <f>'[7]2027'!Pspv</f>
        <v>0</v>
      </c>
      <c r="I41" s="115">
        <f>'[8]2027'!Pspv</f>
        <v>0</v>
      </c>
      <c r="J41" s="115">
        <f>'[9]2027'!Pspv</f>
        <v>0</v>
      </c>
      <c r="K41" s="115">
        <f>'[10]2027'!Pspv</f>
        <v>0</v>
      </c>
      <c r="L41" s="115">
        <f>'[11]2027'!Pspv</f>
        <v>0</v>
      </c>
      <c r="M41" s="115">
        <f>'[12]2027'!Pspv</f>
        <v>0</v>
      </c>
      <c r="N41" s="115">
        <f>'[13]2027'!Pspv</f>
        <v>0</v>
      </c>
      <c r="O41" s="115">
        <f>'[14]2027'!Pspv</f>
        <v>0</v>
      </c>
      <c r="P41" s="116">
        <f>'[15]2027'!Pspv</f>
        <v>0</v>
      </c>
      <c r="Q41" s="117"/>
      <c r="S41" s="445" t="s">
        <v>47</v>
      </c>
      <c r="T41" s="446" t="s">
        <v>47</v>
      </c>
      <c r="U41" s="95" t="s">
        <v>48</v>
      </c>
      <c r="W41" s="103"/>
      <c r="X41" s="103"/>
    </row>
    <row r="42" spans="1:50" s="102" customFormat="1" ht="13.5" thickBot="1" x14ac:dyDescent="0.25">
      <c r="A42" s="118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20"/>
      <c r="S42" s="445" t="s">
        <v>49</v>
      </c>
      <c r="T42" s="446" t="s">
        <v>49</v>
      </c>
      <c r="U42" s="95" t="s">
        <v>50</v>
      </c>
      <c r="W42" s="103"/>
      <c r="X42" s="103"/>
      <c r="AF42" s="119"/>
      <c r="AG42" s="119"/>
      <c r="AW42" s="119"/>
      <c r="AX42" s="119"/>
    </row>
    <row r="43" spans="1:50" s="102" customFormat="1" ht="16.5" thickBot="1" x14ac:dyDescent="0.25"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2">
        <v>5.4999999999999997E-3</v>
      </c>
      <c r="M43" s="121"/>
      <c r="N43" s="121"/>
      <c r="O43" s="121"/>
      <c r="P43" s="121"/>
      <c r="Q43" s="123"/>
      <c r="S43" s="445" t="s">
        <v>51</v>
      </c>
      <c r="T43" s="446" t="s">
        <v>51</v>
      </c>
      <c r="U43" s="95" t="s">
        <v>52</v>
      </c>
      <c r="W43" s="103"/>
      <c r="X43" s="103"/>
      <c r="AF43" s="121"/>
      <c r="AG43" s="121"/>
      <c r="AW43" s="121"/>
      <c r="AX43" s="121"/>
    </row>
  </sheetData>
  <mergeCells count="13">
    <mergeCell ref="S43:T43"/>
    <mergeCell ref="S37:T37"/>
    <mergeCell ref="S38:T38"/>
    <mergeCell ref="S39:T39"/>
    <mergeCell ref="S40:T40"/>
    <mergeCell ref="S41:T41"/>
    <mergeCell ref="S42:T42"/>
    <mergeCell ref="S36:T36"/>
    <mergeCell ref="S31:T31"/>
    <mergeCell ref="S32:T32"/>
    <mergeCell ref="S33:T33"/>
    <mergeCell ref="S34:T34"/>
    <mergeCell ref="S35:T35"/>
  </mergeCells>
  <conditionalFormatting sqref="B32:M41">
    <cfRule type="expression" dxfId="2" priority="3">
      <formula>(B32=0)</formula>
    </cfRule>
  </conditionalFormatting>
  <conditionalFormatting sqref="N32:N41">
    <cfRule type="expression" dxfId="1" priority="2">
      <formula>(N32=0)</formula>
    </cfRule>
  </conditionalFormatting>
  <conditionalFormatting sqref="O32:P41">
    <cfRule type="expression" dxfId="0" priority="1">
      <formula>(O32=0)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</vt:i4>
      </vt:variant>
    </vt:vector>
  </HeadingPairs>
  <TitlesOfParts>
    <vt:vector size="10" baseType="lpstr">
      <vt:lpstr>Nettoyages</vt:lpstr>
      <vt:lpstr>Recap %</vt:lpstr>
      <vt:lpstr>Recap kWh</vt:lpstr>
      <vt:lpstr>Coeff's perfo</vt:lpstr>
      <vt:lpstr>Gain action</vt:lpstr>
      <vt:lpstr>Pertes</vt:lpstr>
      <vt:lpstr>Réglages pertes</vt:lpstr>
      <vt:lpstr>Inter_net</vt:lpstr>
      <vt:lpstr>Inter_tai</vt:lpstr>
      <vt:lpstr>Nserv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2023-01-12T10:36:07Z</dcterms:created>
  <dcterms:modified xsi:type="dcterms:W3CDTF">2023-01-19T14:17:35Z</dcterms:modified>
</cp:coreProperties>
</file>