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"/>
    </mc:Choice>
  </mc:AlternateContent>
  <bookViews>
    <workbookView xWindow="0" yWindow="0" windowWidth="13485" windowHeight="11760"/>
  </bookViews>
  <sheets>
    <sheet name="SIG" sheetId="1" r:id="rId1"/>
    <sheet name="ENCAISSEMENTS" sheetId="2" r:id="rId2"/>
    <sheet name="DECAISSEMENTS" sheetId="3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</workbook>
</file>

<file path=xl/calcChain.xml><?xml version="1.0" encoding="utf-8"?>
<calcChain xmlns="http://schemas.openxmlformats.org/spreadsheetml/2006/main">
  <c r="C79" i="3" l="1"/>
  <c r="B79" i="3"/>
  <c r="A79" i="3"/>
  <c r="C78" i="3"/>
  <c r="B78" i="3"/>
  <c r="A78" i="3"/>
  <c r="C77" i="3"/>
  <c r="B77" i="3"/>
  <c r="A77" i="3"/>
  <c r="C76" i="3"/>
  <c r="B76" i="3"/>
  <c r="A76" i="3"/>
  <c r="C75" i="3"/>
  <c r="B75" i="3"/>
  <c r="A75" i="3"/>
  <c r="C74" i="3"/>
  <c r="B74" i="3"/>
  <c r="A74" i="3"/>
  <c r="C73" i="3"/>
  <c r="B73" i="3"/>
  <c r="A73" i="3"/>
  <c r="C72" i="3"/>
  <c r="B72" i="3"/>
  <c r="A72" i="3"/>
  <c r="C71" i="3"/>
  <c r="B71" i="3"/>
  <c r="A71" i="3"/>
  <c r="C70" i="3"/>
  <c r="B70" i="3"/>
  <c r="A70" i="3"/>
  <c r="C69" i="3"/>
  <c r="B69" i="3"/>
  <c r="A69" i="3"/>
  <c r="C68" i="3"/>
  <c r="B68" i="3"/>
  <c r="A68" i="3"/>
  <c r="C67" i="3"/>
  <c r="B67" i="3"/>
  <c r="A67" i="3"/>
  <c r="C66" i="3"/>
  <c r="B66" i="3"/>
  <c r="A66" i="3"/>
  <c r="C65" i="3"/>
  <c r="B65" i="3"/>
  <c r="A65" i="3"/>
  <c r="C64" i="3"/>
  <c r="B64" i="3"/>
  <c r="A64" i="3"/>
  <c r="C63" i="3"/>
  <c r="B63" i="3"/>
  <c r="A63" i="3"/>
  <c r="C62" i="3"/>
  <c r="B62" i="3"/>
  <c r="A62" i="3"/>
  <c r="C61" i="3"/>
  <c r="B61" i="3"/>
  <c r="A61" i="3"/>
  <c r="C60" i="3"/>
  <c r="B60" i="3"/>
  <c r="A60" i="3"/>
  <c r="C59" i="3"/>
  <c r="B59" i="3"/>
  <c r="A59" i="3"/>
  <c r="C58" i="3"/>
  <c r="B58" i="3"/>
  <c r="A58" i="3"/>
  <c r="C57" i="3"/>
  <c r="B57" i="3"/>
  <c r="A57" i="3"/>
  <c r="C56" i="3"/>
  <c r="B56" i="3"/>
  <c r="A56" i="3"/>
  <c r="C55" i="3"/>
  <c r="B55" i="3"/>
  <c r="A55" i="3"/>
  <c r="C54" i="3"/>
  <c r="B54" i="3"/>
  <c r="A54" i="3"/>
  <c r="C53" i="3"/>
  <c r="B53" i="3"/>
  <c r="A53" i="3"/>
  <c r="C52" i="3"/>
  <c r="B52" i="3"/>
  <c r="A52" i="3"/>
  <c r="C51" i="3"/>
  <c r="B51" i="3"/>
  <c r="A51" i="3"/>
  <c r="C50" i="3"/>
  <c r="C80" i="3" s="1"/>
  <c r="B50" i="3"/>
  <c r="A50" i="3"/>
  <c r="C49" i="3"/>
  <c r="B49" i="3"/>
  <c r="A49" i="3"/>
  <c r="C48" i="3"/>
  <c r="B48" i="3"/>
  <c r="A48" i="3"/>
  <c r="C47" i="3"/>
  <c r="B47" i="3"/>
  <c r="A47" i="3"/>
  <c r="C46" i="3"/>
  <c r="B46" i="3"/>
  <c r="A46" i="3"/>
  <c r="C45" i="3"/>
  <c r="B45" i="3"/>
  <c r="A45" i="3"/>
  <c r="B38" i="3"/>
  <c r="A38" i="3"/>
  <c r="B37" i="3"/>
  <c r="A37" i="3"/>
  <c r="B36" i="3"/>
  <c r="A36" i="3"/>
  <c r="B35" i="3"/>
  <c r="A35" i="3"/>
  <c r="B34" i="3"/>
  <c r="A34" i="3"/>
  <c r="B33" i="3"/>
  <c r="A33" i="3"/>
  <c r="B32" i="3"/>
  <c r="A32" i="3"/>
  <c r="B31" i="3"/>
  <c r="A31" i="3"/>
  <c r="B30" i="3"/>
  <c r="A30" i="3"/>
  <c r="B29" i="3"/>
  <c r="A29" i="3"/>
  <c r="B28" i="3"/>
  <c r="A28" i="3"/>
  <c r="B27" i="3"/>
  <c r="A27" i="3"/>
  <c r="B26" i="3"/>
  <c r="A26" i="3"/>
  <c r="B25" i="3"/>
  <c r="A25" i="3"/>
  <c r="B24" i="3"/>
  <c r="A24" i="3"/>
  <c r="B23" i="3"/>
  <c r="A23" i="3"/>
  <c r="B22" i="3"/>
  <c r="A22" i="3"/>
  <c r="B21" i="3"/>
  <c r="A21" i="3"/>
  <c r="B20" i="3"/>
  <c r="A20" i="3"/>
  <c r="B19" i="3"/>
  <c r="A19" i="3"/>
  <c r="B18" i="3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A10" i="3"/>
  <c r="B9" i="3"/>
  <c r="A9" i="3"/>
  <c r="B8" i="3"/>
  <c r="A8" i="3"/>
  <c r="B7" i="3"/>
  <c r="A7" i="3"/>
  <c r="B6" i="3"/>
  <c r="A6" i="3"/>
  <c r="B5" i="3"/>
  <c r="A5" i="3"/>
  <c r="B4" i="3"/>
  <c r="A4" i="3"/>
  <c r="C16" i="1"/>
  <c r="C15" i="1"/>
  <c r="C14" i="1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L6" i="3"/>
  <c r="L5" i="3"/>
  <c r="M5" i="3" s="1"/>
  <c r="M4" i="3"/>
  <c r="L4" i="3"/>
  <c r="N38" i="2"/>
  <c r="H38" i="2"/>
  <c r="F38" i="2"/>
  <c r="N37" i="2"/>
  <c r="H37" i="2"/>
  <c r="F37" i="2"/>
  <c r="N36" i="2"/>
  <c r="H36" i="2"/>
  <c r="F36" i="2"/>
  <c r="N35" i="2"/>
  <c r="H35" i="2"/>
  <c r="F35" i="2"/>
  <c r="N34" i="2"/>
  <c r="H34" i="2"/>
  <c r="F34" i="2"/>
  <c r="N33" i="2"/>
  <c r="H33" i="2"/>
  <c r="F33" i="2"/>
  <c r="N32" i="2"/>
  <c r="H32" i="2"/>
  <c r="F32" i="2"/>
  <c r="N31" i="2"/>
  <c r="H31" i="2"/>
  <c r="F31" i="2"/>
  <c r="N30" i="2"/>
  <c r="H30" i="2"/>
  <c r="F30" i="2"/>
  <c r="N29" i="2"/>
  <c r="H29" i="2"/>
  <c r="F29" i="2"/>
  <c r="N28" i="2"/>
  <c r="H28" i="2"/>
  <c r="F28" i="2"/>
  <c r="N27" i="2"/>
  <c r="H27" i="2"/>
  <c r="F27" i="2"/>
  <c r="N26" i="2"/>
  <c r="H26" i="2"/>
  <c r="F26" i="2"/>
  <c r="N25" i="2"/>
  <c r="H25" i="2"/>
  <c r="F25" i="2"/>
  <c r="N24" i="2"/>
  <c r="H24" i="2"/>
  <c r="F24" i="2"/>
  <c r="N23" i="2"/>
  <c r="H23" i="2"/>
  <c r="F23" i="2"/>
  <c r="N22" i="2"/>
  <c r="H22" i="2"/>
  <c r="F22" i="2"/>
  <c r="N21" i="2"/>
  <c r="H21" i="2"/>
  <c r="F21" i="2"/>
  <c r="N20" i="2"/>
  <c r="H20" i="2"/>
  <c r="F20" i="2"/>
  <c r="N19" i="2"/>
  <c r="H19" i="2"/>
  <c r="F19" i="2"/>
  <c r="N18" i="2"/>
  <c r="H18" i="2"/>
  <c r="F18" i="2"/>
  <c r="N17" i="2"/>
  <c r="H17" i="2"/>
  <c r="F17" i="2"/>
  <c r="N16" i="2"/>
  <c r="H16" i="2"/>
  <c r="F16" i="2"/>
  <c r="N15" i="2"/>
  <c r="H15" i="2"/>
  <c r="F15" i="2"/>
  <c r="N14" i="2"/>
  <c r="H14" i="2"/>
  <c r="F14" i="2"/>
  <c r="N13" i="2"/>
  <c r="H13" i="2"/>
  <c r="F13" i="2"/>
  <c r="N12" i="2"/>
  <c r="H12" i="2"/>
  <c r="F12" i="2"/>
  <c r="N11" i="2"/>
  <c r="H11" i="2"/>
  <c r="F11" i="2"/>
  <c r="N10" i="2"/>
  <c r="H10" i="2"/>
  <c r="F10" i="2"/>
  <c r="N9" i="2"/>
  <c r="H9" i="2"/>
  <c r="F9" i="2"/>
  <c r="N8" i="2"/>
  <c r="H8" i="2"/>
  <c r="F8" i="2"/>
  <c r="N7" i="2"/>
  <c r="H7" i="2"/>
  <c r="F7" i="2"/>
  <c r="N6" i="2"/>
  <c r="H6" i="2"/>
  <c r="F6" i="2"/>
  <c r="N5" i="2"/>
  <c r="H5" i="2"/>
  <c r="F5" i="2"/>
  <c r="N4" i="2"/>
  <c r="F39" i="3" s="1"/>
  <c r="H4" i="2"/>
  <c r="F4" i="2"/>
  <c r="W47" i="1"/>
  <c r="V47" i="1"/>
  <c r="U47" i="1"/>
  <c r="T47" i="1"/>
  <c r="S47" i="1"/>
  <c r="R47" i="1"/>
  <c r="Q47" i="1"/>
  <c r="P47" i="1"/>
  <c r="O47" i="1"/>
  <c r="N47" i="1"/>
  <c r="E44" i="1"/>
  <c r="E45" i="1" s="1"/>
  <c r="D44" i="1"/>
  <c r="D45" i="1" s="1"/>
  <c r="F43" i="1"/>
  <c r="F44" i="1" s="1"/>
  <c r="F45" i="1" s="1"/>
  <c r="E43" i="1"/>
  <c r="D43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W29" i="1"/>
  <c r="V29" i="1"/>
  <c r="U29" i="1"/>
  <c r="T29" i="1"/>
  <c r="S29" i="1"/>
  <c r="R29" i="1"/>
  <c r="Q29" i="1"/>
  <c r="P29" i="1"/>
  <c r="O29" i="1"/>
  <c r="N29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D12" i="1"/>
  <c r="AD13" i="1" s="1"/>
  <c r="AD14" i="1" s="1"/>
  <c r="AD15" i="1" s="1"/>
  <c r="AD16" i="1" s="1"/>
  <c r="AD17" i="1" s="1"/>
  <c r="AD18" i="1" s="1"/>
  <c r="AD19" i="1" s="1"/>
  <c r="AB11" i="1"/>
  <c r="AB10" i="1" s="1"/>
  <c r="AB9" i="1" s="1"/>
  <c r="AD8" i="1"/>
  <c r="AD9" i="1" s="1"/>
  <c r="AD10" i="1" s="1"/>
  <c r="AD11" i="1" s="1"/>
  <c r="AB8" i="1"/>
  <c r="AB7" i="1" s="1"/>
  <c r="AB6" i="1" s="1"/>
  <c r="AB5" i="1" s="1"/>
  <c r="AB4" i="1" s="1"/>
  <c r="AB3" i="1" s="1"/>
  <c r="AB2" i="1" s="1"/>
  <c r="M8" i="1"/>
  <c r="AD7" i="1"/>
  <c r="AF6" i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AF5" i="1"/>
  <c r="E39" i="3" l="1"/>
  <c r="C38" i="1"/>
  <c r="D39" i="2"/>
  <c r="C9" i="1" s="1"/>
  <c r="I80" i="3"/>
  <c r="L39" i="3"/>
  <c r="D39" i="3"/>
  <c r="C39" i="2"/>
  <c r="C8" i="1" s="1"/>
  <c r="J39" i="3"/>
  <c r="H80" i="3"/>
  <c r="K39" i="3"/>
  <c r="C39" i="3"/>
  <c r="G80" i="3"/>
  <c r="F80" i="3"/>
  <c r="I39" i="3"/>
  <c r="E80" i="3"/>
  <c r="H39" i="3"/>
  <c r="D80" i="3"/>
  <c r="G39" i="3"/>
  <c r="E39" i="2"/>
  <c r="C10" i="1" s="1"/>
  <c r="H39" i="2"/>
  <c r="C12" i="1" s="1"/>
  <c r="D21" i="1" s="1"/>
  <c r="J80" i="3"/>
  <c r="K80" i="3" l="1"/>
  <c r="C13" i="1" s="1"/>
  <c r="Q21" i="1"/>
  <c r="I21" i="1"/>
  <c r="P21" i="1"/>
  <c r="H21" i="1"/>
  <c r="V21" i="1"/>
  <c r="N21" i="1"/>
  <c r="F21" i="1"/>
  <c r="U21" i="1"/>
  <c r="M21" i="1"/>
  <c r="E21" i="1"/>
  <c r="J21" i="1"/>
  <c r="T21" i="1"/>
  <c r="S21" i="1"/>
  <c r="L21" i="1"/>
  <c r="R21" i="1"/>
  <c r="O21" i="1"/>
  <c r="W21" i="1"/>
  <c r="K21" i="1"/>
  <c r="G21" i="1"/>
  <c r="M39" i="3"/>
  <c r="C11" i="1" s="1"/>
  <c r="V10" i="1"/>
  <c r="N23" i="1" l="1"/>
  <c r="N25" i="1" s="1"/>
  <c r="C40" i="1"/>
  <c r="T26" i="1"/>
  <c r="L26" i="1"/>
  <c r="D26" i="1"/>
  <c r="C37" i="1"/>
  <c r="S26" i="1"/>
  <c r="K26" i="1"/>
  <c r="Q26" i="1"/>
  <c r="I26" i="1"/>
  <c r="P26" i="1"/>
  <c r="H26" i="1"/>
  <c r="V26" i="1"/>
  <c r="F26" i="1"/>
  <c r="M11" i="1"/>
  <c r="E26" i="1"/>
  <c r="R26" i="1"/>
  <c r="O26" i="1"/>
  <c r="N26" i="1"/>
  <c r="U26" i="1"/>
  <c r="M26" i="1"/>
  <c r="J26" i="1"/>
  <c r="B57" i="1"/>
  <c r="W26" i="1"/>
  <c r="G26" i="1"/>
  <c r="V8" i="1"/>
  <c r="N8" i="1"/>
  <c r="J23" i="1"/>
  <c r="J25" i="1" s="1"/>
  <c r="P23" i="1"/>
  <c r="P25" i="1" s="1"/>
  <c r="E23" i="1"/>
  <c r="E25" i="1" s="1"/>
  <c r="M23" i="1"/>
  <c r="M25" i="1" s="1"/>
  <c r="I23" i="1"/>
  <c r="I25" i="1" s="1"/>
  <c r="S22" i="1"/>
  <c r="S23" i="1" s="1"/>
  <c r="S25" i="1" s="1"/>
  <c r="S28" i="1" s="1"/>
  <c r="S31" i="1" s="1"/>
  <c r="K22" i="1"/>
  <c r="K23" i="1" s="1"/>
  <c r="K25" i="1" s="1"/>
  <c r="R22" i="1"/>
  <c r="R23" i="1" s="1"/>
  <c r="R25" i="1" s="1"/>
  <c r="R28" i="1" s="1"/>
  <c r="R31" i="1" s="1"/>
  <c r="J22" i="1"/>
  <c r="P22" i="1"/>
  <c r="H22" i="1"/>
  <c r="H23" i="1" s="1"/>
  <c r="H25" i="1" s="1"/>
  <c r="W22" i="1"/>
  <c r="W23" i="1" s="1"/>
  <c r="W25" i="1" s="1"/>
  <c r="W28" i="1" s="1"/>
  <c r="W31" i="1" s="1"/>
  <c r="O22" i="1"/>
  <c r="O23" i="1" s="1"/>
  <c r="O25" i="1" s="1"/>
  <c r="O28" i="1" s="1"/>
  <c r="O31" i="1" s="1"/>
  <c r="G22" i="1"/>
  <c r="G23" i="1" s="1"/>
  <c r="G25" i="1" s="1"/>
  <c r="T22" i="1"/>
  <c r="T23" i="1" s="1"/>
  <c r="T25" i="1" s="1"/>
  <c r="T28" i="1" s="1"/>
  <c r="T31" i="1" s="1"/>
  <c r="D22" i="1"/>
  <c r="D23" i="1" s="1"/>
  <c r="D25" i="1" s="1"/>
  <c r="N22" i="1"/>
  <c r="M22" i="1"/>
  <c r="Q22" i="1"/>
  <c r="Q23" i="1" s="1"/>
  <c r="Q25" i="1" s="1"/>
  <c r="Q28" i="1" s="1"/>
  <c r="Q31" i="1" s="1"/>
  <c r="L22" i="1"/>
  <c r="L23" i="1" s="1"/>
  <c r="L25" i="1" s="1"/>
  <c r="F22" i="1"/>
  <c r="F23" i="1" s="1"/>
  <c r="F25" i="1" s="1"/>
  <c r="I22" i="1"/>
  <c r="V22" i="1"/>
  <c r="V23" i="1" s="1"/>
  <c r="V25" i="1" s="1"/>
  <c r="V28" i="1" s="1"/>
  <c r="V31" i="1" s="1"/>
  <c r="U22" i="1"/>
  <c r="U23" i="1" s="1"/>
  <c r="U25" i="1" s="1"/>
  <c r="U28" i="1" s="1"/>
  <c r="U31" i="1" s="1"/>
  <c r="E22" i="1"/>
  <c r="L47" i="1" l="1"/>
  <c r="L28" i="1"/>
  <c r="O42" i="1"/>
  <c r="W42" i="1"/>
  <c r="H47" i="1"/>
  <c r="H28" i="1"/>
  <c r="U42" i="1"/>
  <c r="V42" i="1"/>
  <c r="K28" i="1"/>
  <c r="K47" i="1"/>
  <c r="F28" i="1"/>
  <c r="F47" i="1"/>
  <c r="Q42" i="1"/>
  <c r="R42" i="1"/>
  <c r="T42" i="1"/>
  <c r="G47" i="1"/>
  <c r="G28" i="1"/>
  <c r="S42" i="1"/>
  <c r="M28" i="1"/>
  <c r="M47" i="1"/>
  <c r="D47" i="1"/>
  <c r="D28" i="1"/>
  <c r="D31" i="1" s="1"/>
  <c r="E28" i="1"/>
  <c r="E47" i="1"/>
  <c r="P28" i="1"/>
  <c r="P31" i="1" s="1"/>
  <c r="J28" i="1"/>
  <c r="J47" i="1"/>
  <c r="N28" i="1"/>
  <c r="N31" i="1" s="1"/>
  <c r="I47" i="1"/>
  <c r="I28" i="1"/>
  <c r="I29" i="1"/>
  <c r="H29" i="1"/>
  <c r="F29" i="1"/>
  <c r="M29" i="1"/>
  <c r="E29" i="1"/>
  <c r="K29" i="1"/>
  <c r="G29" i="1"/>
  <c r="D29" i="1"/>
  <c r="J29" i="1"/>
  <c r="L29" i="1"/>
  <c r="I31" i="1" l="1"/>
  <c r="E31" i="1"/>
  <c r="G31" i="1"/>
  <c r="D42" i="1"/>
  <c r="D33" i="1"/>
  <c r="D34" i="1" s="1"/>
  <c r="D32" i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N42" i="1"/>
  <c r="M31" i="1"/>
  <c r="F31" i="1"/>
  <c r="J31" i="1"/>
  <c r="H31" i="1"/>
  <c r="L31" i="1"/>
  <c r="P42" i="1"/>
  <c r="K31" i="1"/>
  <c r="D36" i="1" l="1"/>
  <c r="L42" i="1"/>
  <c r="L33" i="1"/>
  <c r="L34" i="1"/>
  <c r="F42" i="1"/>
  <c r="F33" i="1"/>
  <c r="F34" i="1" s="1"/>
  <c r="F36" i="1" s="1"/>
  <c r="K42" i="1"/>
  <c r="K33" i="1"/>
  <c r="K34" i="1" s="1"/>
  <c r="E42" i="1"/>
  <c r="E33" i="1"/>
  <c r="E34" i="1"/>
  <c r="E36" i="1" s="1"/>
  <c r="O32" i="1"/>
  <c r="O33" i="1"/>
  <c r="O34" i="1" s="1"/>
  <c r="H33" i="1"/>
  <c r="H34" i="1" s="1"/>
  <c r="H42" i="1"/>
  <c r="J42" i="1"/>
  <c r="J33" i="1"/>
  <c r="J34" i="1"/>
  <c r="M42" i="1"/>
  <c r="M33" i="1"/>
  <c r="M34" i="1"/>
  <c r="G42" i="1"/>
  <c r="G33" i="1"/>
  <c r="G34" i="1" s="1"/>
  <c r="N33" i="1"/>
  <c r="N34" i="1" s="1"/>
  <c r="I42" i="1"/>
  <c r="C52" i="1" s="1"/>
  <c r="I33" i="1"/>
  <c r="I34" i="1" s="1"/>
  <c r="K43" i="1" l="1"/>
  <c r="K44" i="1" s="1"/>
  <c r="K45" i="1" s="1"/>
  <c r="K36" i="1"/>
  <c r="H43" i="1"/>
  <c r="H44" i="1" s="1"/>
  <c r="H45" i="1" s="1"/>
  <c r="H36" i="1"/>
  <c r="G43" i="1"/>
  <c r="G44" i="1" s="1"/>
  <c r="G45" i="1" s="1"/>
  <c r="G36" i="1"/>
  <c r="F38" i="1"/>
  <c r="F39" i="1"/>
  <c r="F37" i="1"/>
  <c r="I36" i="1"/>
  <c r="I43" i="1"/>
  <c r="I44" i="1" s="1"/>
  <c r="I45" i="1" s="1"/>
  <c r="N36" i="1"/>
  <c r="N43" i="1"/>
  <c r="N44" i="1" s="1"/>
  <c r="N45" i="1" s="1"/>
  <c r="O43" i="1"/>
  <c r="O44" i="1" s="1"/>
  <c r="O45" i="1" s="1"/>
  <c r="O36" i="1"/>
  <c r="P32" i="1"/>
  <c r="P33" i="1"/>
  <c r="P34" i="1" s="1"/>
  <c r="E38" i="1"/>
  <c r="E39" i="1"/>
  <c r="E37" i="1"/>
  <c r="J36" i="1"/>
  <c r="J43" i="1"/>
  <c r="J44" i="1" s="1"/>
  <c r="J45" i="1" s="1"/>
  <c r="L43" i="1"/>
  <c r="L44" i="1" s="1"/>
  <c r="L45" i="1" s="1"/>
  <c r="L36" i="1"/>
  <c r="M43" i="1"/>
  <c r="M44" i="1" s="1"/>
  <c r="M45" i="1" s="1"/>
  <c r="M36" i="1"/>
  <c r="D37" i="1"/>
  <c r="D39" i="1"/>
  <c r="D40" i="1" s="1"/>
  <c r="E40" i="1" s="1"/>
  <c r="D38" i="1"/>
  <c r="J38" i="1" l="1"/>
  <c r="J39" i="1"/>
  <c r="J37" i="1"/>
  <c r="H39" i="1"/>
  <c r="H37" i="1"/>
  <c r="H38" i="1"/>
  <c r="F40" i="1"/>
  <c r="G40" i="1" s="1"/>
  <c r="H40" i="1" s="1"/>
  <c r="I40" i="1" s="1"/>
  <c r="J40" i="1" s="1"/>
  <c r="K40" i="1" s="1"/>
  <c r="L40" i="1" s="1"/>
  <c r="M40" i="1" s="1"/>
  <c r="N40" i="1" s="1"/>
  <c r="O40" i="1" s="1"/>
  <c r="I39" i="1"/>
  <c r="I37" i="1"/>
  <c r="I38" i="1"/>
  <c r="K37" i="1"/>
  <c r="K38" i="1"/>
  <c r="K39" i="1"/>
  <c r="Q32" i="1"/>
  <c r="Q33" i="1"/>
  <c r="Q34" i="1" s="1"/>
  <c r="O37" i="1"/>
  <c r="O39" i="1"/>
  <c r="O38" i="1"/>
  <c r="G37" i="1"/>
  <c r="G39" i="1"/>
  <c r="G38" i="1"/>
  <c r="N38" i="1"/>
  <c r="N39" i="1"/>
  <c r="N37" i="1"/>
  <c r="M38" i="1"/>
  <c r="M39" i="1"/>
  <c r="M37" i="1"/>
  <c r="L37" i="1"/>
  <c r="L39" i="1"/>
  <c r="L38" i="1"/>
  <c r="P43" i="1"/>
  <c r="P44" i="1" s="1"/>
  <c r="P45" i="1" s="1"/>
  <c r="P36" i="1"/>
  <c r="R32" i="1" l="1"/>
  <c r="R33" i="1"/>
  <c r="R34" i="1" s="1"/>
  <c r="Q36" i="1"/>
  <c r="Q43" i="1"/>
  <c r="Q44" i="1" s="1"/>
  <c r="Q45" i="1" s="1"/>
  <c r="P39" i="1"/>
  <c r="P40" i="1" s="1"/>
  <c r="P37" i="1"/>
  <c r="P38" i="1"/>
  <c r="R36" i="1" l="1"/>
  <c r="R43" i="1"/>
  <c r="R44" i="1" s="1"/>
  <c r="R45" i="1" s="1"/>
  <c r="Q39" i="1"/>
  <c r="Q40" i="1" s="1"/>
  <c r="Q37" i="1"/>
  <c r="Q38" i="1"/>
  <c r="S32" i="1"/>
  <c r="S33" i="1"/>
  <c r="S34" i="1" s="1"/>
  <c r="R38" i="1" l="1"/>
  <c r="R39" i="1"/>
  <c r="R40" i="1" s="1"/>
  <c r="R37" i="1"/>
  <c r="S43" i="1"/>
  <c r="S44" i="1" s="1"/>
  <c r="S45" i="1" s="1"/>
  <c r="S36" i="1"/>
  <c r="T32" i="1"/>
  <c r="T33" i="1"/>
  <c r="T34" i="1" s="1"/>
  <c r="U32" i="1" l="1"/>
  <c r="U33" i="1"/>
  <c r="U34" i="1" s="1"/>
  <c r="S37" i="1"/>
  <c r="S38" i="1"/>
  <c r="S39" i="1"/>
  <c r="S40" i="1" s="1"/>
  <c r="T43" i="1"/>
  <c r="T44" i="1" s="1"/>
  <c r="T45" i="1" s="1"/>
  <c r="T36" i="1"/>
  <c r="T37" i="1" l="1"/>
  <c r="T39" i="1"/>
  <c r="T40" i="1" s="1"/>
  <c r="T38" i="1"/>
  <c r="U43" i="1"/>
  <c r="U44" i="1" s="1"/>
  <c r="U45" i="1" s="1"/>
  <c r="U36" i="1"/>
  <c r="V32" i="1"/>
  <c r="V33" i="1"/>
  <c r="V34" i="1" s="1"/>
  <c r="V36" i="1" l="1"/>
  <c r="V43" i="1"/>
  <c r="V44" i="1" s="1"/>
  <c r="V45" i="1" s="1"/>
  <c r="W32" i="1"/>
  <c r="W33" i="1"/>
  <c r="W34" i="1" s="1"/>
  <c r="U38" i="1"/>
  <c r="U39" i="1"/>
  <c r="U40" i="1" s="1"/>
  <c r="U37" i="1"/>
  <c r="W43" i="1" l="1"/>
  <c r="W44" i="1" s="1"/>
  <c r="W45" i="1" s="1"/>
  <c r="C55" i="1" s="1"/>
  <c r="W36" i="1"/>
  <c r="C54" i="1"/>
  <c r="V38" i="1"/>
  <c r="V39" i="1"/>
  <c r="V40" i="1" s="1"/>
  <c r="V37" i="1"/>
  <c r="W37" i="1" l="1"/>
  <c r="C53" i="1" s="1"/>
  <c r="D53" i="1" s="1"/>
  <c r="W39" i="1"/>
  <c r="W40" i="1" s="1"/>
  <c r="C51" i="1" s="1"/>
  <c r="D51" i="1" s="1"/>
  <c r="W38" i="1"/>
</calcChain>
</file>

<file path=xl/comments1.xml><?xml version="1.0" encoding="utf-8"?>
<comments xmlns="http://schemas.openxmlformats.org/spreadsheetml/2006/main">
  <authors>
    <author/>
  </authors>
  <commentList>
    <comment ref="I12" authorId="0" shapeId="0">
      <text>
        <r>
          <rPr>
            <b/>
            <sz val="9"/>
            <color rgb="FF000000"/>
            <rFont val="Calibri"/>
            <family val="2"/>
          </rPr>
          <t xml:space="preserve">Supérieur à 57,5% en SCIC
</t>
        </r>
      </text>
    </comment>
    <comment ref="I16" authorId="0" shapeId="0">
      <text>
        <r>
          <rPr>
            <b/>
            <sz val="9"/>
            <color rgb="FF000000"/>
            <rFont val="Calibri"/>
            <family val="2"/>
          </rPr>
          <t>A demander à la commune où siège la société locale</t>
        </r>
      </text>
    </comment>
    <comment ref="D22" authorId="0" shapeId="0">
      <text>
        <r>
          <rPr>
            <sz val="9"/>
            <color rgb="FF000000"/>
            <rFont val="Calibri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rgb="FF000000"/>
            <rFont val="Calibri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rgb="FF000000"/>
            <rFont val="Calibri"/>
            <family val="2"/>
          </rPr>
          <t xml:space="preserve">Calculée sur tous les flux
</t>
        </r>
      </text>
    </comment>
    <comment ref="A53" authorId="0" shapeId="0">
      <text>
        <r>
          <rPr>
            <b/>
            <sz val="9"/>
            <color rgb="FF000000"/>
            <rFont val="Calibri"/>
            <family val="2"/>
          </rPr>
          <t xml:space="preserve">Calculs sur tous les flux sans les intérêts financiers
</t>
        </r>
      </text>
    </comment>
  </commentList>
</comments>
</file>

<file path=xl/sharedStrings.xml><?xml version="1.0" encoding="utf-8"?>
<sst xmlns="http://schemas.openxmlformats.org/spreadsheetml/2006/main" count="254" uniqueCount="207">
  <si>
    <t>Business plan simplifié - Centrales Villageoises XXX</t>
  </si>
  <si>
    <t>sans plan de trésorerie</t>
  </si>
  <si>
    <t>SCIC / SAS</t>
  </si>
  <si>
    <t>Cases en jaune à remplir ou modifier</t>
  </si>
  <si>
    <t>Cases en gris calculées</t>
  </si>
  <si>
    <t>SAS</t>
  </si>
  <si>
    <t>Modèle statutaire</t>
  </si>
  <si>
    <t>Description du projet PV</t>
  </si>
  <si>
    <t>Hypothèses</t>
  </si>
  <si>
    <t>Structuration du financement</t>
  </si>
  <si>
    <t>Surface photovoltaïque (m2)</t>
  </si>
  <si>
    <t>Taux perte de production/an</t>
  </si>
  <si>
    <t>Capital apporté</t>
  </si>
  <si>
    <t>Comptes-courants d'associés</t>
  </si>
  <si>
    <t>Part fonds propres</t>
  </si>
  <si>
    <t>Puissance photovoltaïque (kW)</t>
  </si>
  <si>
    <t>Taux d'indexation du tarif d'achat</t>
  </si>
  <si>
    <t>Nombre de parts</t>
  </si>
  <si>
    <t>Taux (%)</t>
  </si>
  <si>
    <t>Production annuelle (kWh/an)</t>
  </si>
  <si>
    <t>Inflation</t>
  </si>
  <si>
    <t>Montant de la part</t>
  </si>
  <si>
    <t>Durée (ans)</t>
  </si>
  <si>
    <t>Coût système PV €/Wc</t>
  </si>
  <si>
    <t>Coût investissement (€)</t>
  </si>
  <si>
    <t>Mise en réserve années 1 à 3</t>
  </si>
  <si>
    <t>Emprunt bancaire (€)</t>
  </si>
  <si>
    <t>Recettes (€/an)</t>
  </si>
  <si>
    <t>Mise en réserve de 4 à 20 ans</t>
  </si>
  <si>
    <t>Taux emprunt</t>
  </si>
  <si>
    <t>Charges (€/an)</t>
  </si>
  <si>
    <t>Taux d'actualisation</t>
  </si>
  <si>
    <t>Charges exceptionnelles 1ère année</t>
  </si>
  <si>
    <t>Taux CSG</t>
  </si>
  <si>
    <t>Subvention</t>
  </si>
  <si>
    <t>Charges exceptionnelles 11ème année</t>
  </si>
  <si>
    <t>Taux de disponibilité centrale</t>
  </si>
  <si>
    <t>Charges exceptionnelles années 11 à 15</t>
  </si>
  <si>
    <t>Taxe CFE €/an</t>
  </si>
  <si>
    <t>Soldes intermédiaires de gestion</t>
  </si>
  <si>
    <t>Ventes d'électicité</t>
  </si>
  <si>
    <t>Charges</t>
  </si>
  <si>
    <t>Valeur ajoutée</t>
  </si>
  <si>
    <t>Taxes (CFE)</t>
  </si>
  <si>
    <t>Excédent Brut d'Exploitation</t>
  </si>
  <si>
    <t>Dotations aux amortissements</t>
  </si>
  <si>
    <t>Provisions</t>
  </si>
  <si>
    <t>Résultat d'Exploitation</t>
  </si>
  <si>
    <t>Frais financiers (remb. annuité constante)</t>
  </si>
  <si>
    <t>Intérêts CCA</t>
  </si>
  <si>
    <t>Résultat courant avant impôt</t>
  </si>
  <si>
    <t>Déficit reportable</t>
  </si>
  <si>
    <t>Impôts</t>
  </si>
  <si>
    <t>Résultat Net Comptable</t>
  </si>
  <si>
    <t>Capacité d'Autofinancement</t>
  </si>
  <si>
    <t>Cash Flow - investissement (pour le TRI)</t>
  </si>
  <si>
    <t>Cash flow - TRI sur fonds propres</t>
  </si>
  <si>
    <t>Cash Flow Actualisés</t>
  </si>
  <si>
    <t>VAN</t>
  </si>
  <si>
    <t>Mise en réserves</t>
  </si>
  <si>
    <t>Dividendes bruts distribuables</t>
  </si>
  <si>
    <t>Dividendes nets distribuables</t>
  </si>
  <si>
    <t>Rémunération des fonds propres</t>
  </si>
  <si>
    <t>Taux de couverture de la dette</t>
  </si>
  <si>
    <t>Indicateurs de rentabilité</t>
  </si>
  <si>
    <t>Valeur Actuelle Nette sur 20 ans</t>
  </si>
  <si>
    <t>Réserves cumulées</t>
  </si>
  <si>
    <t>TRI du Projet</t>
  </si>
  <si>
    <t>Rentabilité financière (Résultat Net / Fonds propres)</t>
  </si>
  <si>
    <t>Rémunération des fonds propres sur 20 ans</t>
  </si>
  <si>
    <t>Ratio € HT/Wc</t>
  </si>
  <si>
    <t>RECETTES ANNUELLES</t>
  </si>
  <si>
    <t>sélectionner le périmètre</t>
  </si>
  <si>
    <t>Nom installation</t>
  </si>
  <si>
    <r>
      <t>Surface m</t>
    </r>
    <r>
      <rPr>
        <b/>
        <vertAlign val="superscript"/>
        <sz val="12"/>
        <color rgb="FF000000"/>
        <rFont val="Calibri"/>
        <family val="2"/>
      </rPr>
      <t>2</t>
    </r>
  </si>
  <si>
    <t>Puissance kWc</t>
  </si>
  <si>
    <t>Production kWh/an</t>
  </si>
  <si>
    <t>Productiblité</t>
  </si>
  <si>
    <t>Tarif d'achat c€/kWh</t>
  </si>
  <si>
    <t>RECETTES €/an</t>
  </si>
  <si>
    <t>Notes d'aides à la saisie</t>
  </si>
  <si>
    <t>oui</t>
  </si>
  <si>
    <t>Périmètre sélectionné</t>
  </si>
  <si>
    <t>INSTALL 1</t>
  </si>
  <si>
    <t>* Seules les cases jaunes sont à remplir.</t>
  </si>
  <si>
    <t>non</t>
  </si>
  <si>
    <t>INSTALL 2</t>
  </si>
  <si>
    <t>INSTALL 3</t>
  </si>
  <si>
    <t>* Colonne A : sélectionner ICI les installations que vous souhaitez inclure dans le périmètre d'étude</t>
  </si>
  <si>
    <t>INSTALL 4</t>
  </si>
  <si>
    <t>INSTALL 5</t>
  </si>
  <si>
    <t>* Colonne H : attention aux unités</t>
  </si>
  <si>
    <t>INSTALL 6</t>
  </si>
  <si>
    <t>* Le tarif d'achat dépend du trimestre auquel se fait la demande de raccordement.</t>
  </si>
  <si>
    <t>INSTALL 7</t>
  </si>
  <si>
    <t>Pour connaître les tarifs du trimestre actuel, consulter la page Actualités du site des Centrales Villageoises.</t>
  </si>
  <si>
    <t>INSTALL 8</t>
  </si>
  <si>
    <t>INSTALL 9</t>
  </si>
  <si>
    <t>INSTALL 10</t>
  </si>
  <si>
    <t>INSTALL 11</t>
  </si>
  <si>
    <t>INSTALL 12</t>
  </si>
  <si>
    <t>INSTALL 13</t>
  </si>
  <si>
    <t>INSTALL 14</t>
  </si>
  <si>
    <t>INSTALL 15</t>
  </si>
  <si>
    <t>INSTALL 16</t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</si>
  <si>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</si>
  <si>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</si>
  <si>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</si>
  <si>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</si>
  <si>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</si>
  <si>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</si>
  <si>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</si>
  <si>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</si>
  <si>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</si>
  <si>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</si>
  <si>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</si>
  <si>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</si>
  <si>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</si>
  <si>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</si>
  <si>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</si>
  <si>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</si>
  <si>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</si>
  <si>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</si>
  <si>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</si>
  <si>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INVESTISSEMENTS (€/HT)</t>
  </si>
  <si>
    <t>SYSTÈME PV</t>
  </si>
  <si>
    <t>RACCORDEMENT</t>
  </si>
  <si>
    <t>TRAVAUX</t>
  </si>
  <si>
    <t>TRANCHEES</t>
  </si>
  <si>
    <t>COFFRETS</t>
  </si>
  <si>
    <t>MONITORING</t>
  </si>
  <si>
    <t>Bureau de contrôle</t>
  </si>
  <si>
    <t>Extension onduleurs 20 ans</t>
  </si>
  <si>
    <t>Notaire</t>
  </si>
  <si>
    <t>Autres (Etudes, etc)</t>
  </si>
  <si>
    <t>TOTAL</t>
  </si>
  <si>
    <t>AIDE A LA SAISIE</t>
  </si>
  <si>
    <t>remplir uniquement les cases en jaune</t>
  </si>
  <si>
    <t>PV</t>
  </si>
  <si>
    <t>Système PV = panneaux + système d'intégration + onduleur + câbles + boitiers</t>
  </si>
  <si>
    <t>Coûts très variables selon les toitures, les sysèmes d'intégration, les surfaces, etc. - Voir statistiques des précédents projets</t>
  </si>
  <si>
    <t>RACCO € HT</t>
  </si>
  <si>
    <t>Très variable selon les contraintes du réseau - Montant exact donné dans la Proposition De Raccordement (PDR) de ENEDIS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</si>
  <si>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</si>
  <si>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</si>
  <si>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</si>
  <si>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Tranchées en zone privée entre onduleur et coffrets ENEDIS en limite de propriété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</si>
  <si>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</si>
  <si>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</si>
  <si>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</si>
  <si>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</si>
  <si>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550 euros pour une installation de 9 kW (investissement et abonnement compris)</t>
  </si>
  <si>
    <t>Pour les ERP uniquement</t>
  </si>
  <si>
    <t>Extension garantie onduleurs</t>
  </si>
  <si>
    <t>Facultatif - Permet de remplacer automatiquement un onduleur défectueux pendant 10 ans ou 20 ans</t>
  </si>
  <si>
    <t>Sur devis installateur</t>
  </si>
  <si>
    <t>TOTAL SUR LA SELECTION</t>
  </si>
  <si>
    <t>DETAIL DES CHARGES ANNUELLES (€ HT/ AN)</t>
  </si>
  <si>
    <t>AIDE AU CHIFFRAGE</t>
  </si>
  <si>
    <t>SURFACE (M2)</t>
  </si>
  <si>
    <t>MAINTENANCE</t>
  </si>
  <si>
    <t>ASSURANCES</t>
  </si>
  <si>
    <t>LOYERS</t>
  </si>
  <si>
    <t>TURPE</t>
  </si>
  <si>
    <t>Comptable</t>
  </si>
  <si>
    <t>TENUE COMPTE</t>
  </si>
  <si>
    <t>DIVERS</t>
  </si>
  <si>
    <t>Maintenance</t>
  </si>
  <si>
    <t>Prévoir une visite annuelle complète</t>
  </si>
  <si>
    <t>Sur devis installateur et selon les tailles d'installations. Entre 130 et 160 €HT pour une installation 9 kW</t>
  </si>
  <si>
    <t>Assurances</t>
  </si>
  <si>
    <r>
      <t xml:space="preserve">Selon barème MMA selon le montant de recettes annuelles cumulées et le coût du matériel PV cumulé </t>
    </r>
    <r>
      <rPr>
        <u/>
        <sz val="11"/>
        <color rgb="FF000000"/>
        <rFont val="Calibri"/>
        <family val="2"/>
      </rPr>
      <t>hors pose</t>
    </r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</si>
  <si>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</si>
  <si>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</si>
  <si>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</si>
  <si>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</si>
  <si>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</si>
  <si>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</si>
  <si>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</si>
  <si>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</si>
  <si>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</si>
  <si>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</si>
  <si>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Recettes &lt; 170 000€ HT/an ET Matériel &lt; 1 600 000€ HT --&gt; 6380 /an</t>
  </si>
  <si>
    <t>Loyers</t>
  </si>
  <si>
    <t>Location des toitures publiques et privées - Peut être négocié avec les propriétaires</t>
  </si>
  <si>
    <t>Base de calcul de 2,5 € / m2 de PV / an</t>
  </si>
  <si>
    <t>Taxe annuelle pour l'utilisation du réseau public d'électricité.</t>
  </si>
  <si>
    <t>Selon barème du TURPE : 35€ HT si puissance &lt; 36 kVA, 620€/HT entre 36 et 250 kVA</t>
  </si>
  <si>
    <t>Soit comptable local soit comptable proposé par AURA-EE</t>
  </si>
  <si>
    <t>950 €HT avec tenue de compte</t>
  </si>
  <si>
    <t>Tenue compte</t>
  </si>
  <si>
    <t>Selon banque dans laquelle le compte de la société est ouvert</t>
  </si>
  <si>
    <t>Environ 200 €/ an en général</t>
  </si>
  <si>
    <t>Divers</t>
  </si>
  <si>
    <t>Prévoir une marge minimum de 500 € / an environ</t>
  </si>
  <si>
    <t>CHARGES EXCEPTIONNELLES (€ HT)</t>
  </si>
  <si>
    <t>ANNEE 1</t>
  </si>
  <si>
    <t>FRAIS BANCAIRES</t>
  </si>
  <si>
    <t>Frais associés au prêt bancaire</t>
  </si>
  <si>
    <t>IMMATRICULATION</t>
  </si>
  <si>
    <t>Frais d'immatrioculation de lasociété locale (environ 400€)</t>
  </si>
  <si>
    <t>ANNEE 11</t>
  </si>
  <si>
    <t>RENOUV MONITORING</t>
  </si>
  <si>
    <t>Renouvellement des abonnements de monitoing au bout de 11 ans : prévoir 250 euros environ par installation</t>
  </si>
  <si>
    <t>ANNEES 11 A 15</t>
  </si>
  <si>
    <t>RENOUV ONDULEURS</t>
  </si>
  <si>
    <t>Renouvellement des onduleurs défaillants sur les années 11, 12, 13, 14, 15 - Compter 75% du coût 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</si>
</sst>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 &quot;;&quot;-&quot;#,##0&quot; &quot;"/>
    <numFmt numFmtId="165" formatCode="#,##0.0&quot;   &quot;"/>
    <numFmt numFmtId="166" formatCode="#,##0&quot; €&quot;"/>
    <numFmt numFmtId="167" formatCode="0.00&quot; &quot;%"/>
    <numFmt numFmtId="168" formatCode="#,##0&quot; €&quot;;[Red]&quot;-&quot;#,##0&quot; €&quot;"/>
    <numFmt numFmtId="169" formatCode="#,##0.00&quot; €&quot;;[Red]&quot;-&quot;#,##0.00&quot; €&quot;"/>
    <numFmt numFmtId="170" formatCode="0.0%"/>
    <numFmt numFmtId="171" formatCode="#,##0&quot;    &quot;;#,##0&quot;    &quot;;&quot;-&quot;#&quot;    &quot;;&quot; &quot;@&quot; &quot;"/>
    <numFmt numFmtId="172" formatCode="0.0"/>
    <numFmt numFmtId="173" formatCode="0&quot; &quot;%"/>
    <numFmt numFmtId="174" formatCode="#,##0.00&quot; € &quot;;#,##0.00&quot; € &quot;;&quot;-&quot;#&quot; € &quot;;&quot; &quot;@&quot; &quot;"/>
    <numFmt numFmtId="175" formatCode="#,##0.00&quot;    &quot;;#,##0.00&quot;    &quot;;&quot;-&quot;#&quot;    &quot;;&quot; &quot;@&quot; &quot;"/>
    <numFmt numFmtId="176" formatCode="[$-40C]#,##0.00&quot;   &quot;;[Red][$-40C]&quot;-&quot;#,##0.00&quot;   &quot;"/>
  </numFmts>
  <fonts count="5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sz val="11"/>
      <color rgb="FF9C0006"/>
      <name val="Calibri"/>
      <family val="2"/>
    </font>
    <font>
      <b/>
      <sz val="11"/>
      <color rgb="FF4F6228"/>
      <name val="Calibri"/>
      <family val="2"/>
    </font>
    <font>
      <b/>
      <sz val="11"/>
      <color rgb="FF984807"/>
      <name val="Calibri"/>
      <family val="2"/>
    </font>
    <font>
      <sz val="11"/>
      <color rgb="FF006100"/>
      <name val="Calibri"/>
      <family val="2"/>
    </font>
    <font>
      <b/>
      <sz val="10"/>
      <color rgb="FFFFFFFF"/>
      <name val="Calibri"/>
      <family val="2"/>
    </font>
    <font>
      <u/>
      <sz val="11"/>
      <color rgb="FF0000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000000"/>
      <name val="MS Sans Serif"/>
      <family val="2"/>
    </font>
    <font>
      <sz val="10"/>
      <color rgb="FF333333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rgb="FF558ED5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i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b/>
      <i/>
      <sz val="11"/>
      <color rgb="FF17375E"/>
      <name val="Calibri"/>
      <family val="2"/>
    </font>
    <font>
      <i/>
      <sz val="11"/>
      <color rgb="FF17375E"/>
      <name val="Calibri"/>
      <family val="2"/>
    </font>
    <font>
      <sz val="11"/>
      <color rgb="FF17375E"/>
      <name val="Calibri"/>
      <family val="2"/>
    </font>
    <font>
      <b/>
      <i/>
      <sz val="11"/>
      <color rgb="FF31859C"/>
      <name val="Calibri"/>
      <family val="2"/>
    </font>
    <font>
      <i/>
      <sz val="11"/>
      <color rgb="FF31859C"/>
      <name val="Calibri"/>
      <family val="2"/>
    </font>
    <font>
      <sz val="11"/>
      <color rgb="FF31859C"/>
      <name val="Calibri"/>
      <family val="2"/>
    </font>
    <font>
      <b/>
      <i/>
      <sz val="11"/>
      <color rgb="FF000000"/>
      <name val="Calibri"/>
      <family val="2"/>
    </font>
    <font>
      <b/>
      <sz val="20"/>
      <color rgb="FFFFFFFF"/>
      <name val="Calibri"/>
      <family val="2"/>
    </font>
    <font>
      <sz val="11"/>
      <color rgb="FFFF0000"/>
      <name val="Calibri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u/>
      <sz val="16"/>
      <color rgb="FFE46C0A"/>
      <name val="Calibri"/>
      <family val="2"/>
    </font>
    <font>
      <b/>
      <u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FFFF00"/>
      <name val="Calibri"/>
      <family val="2"/>
    </font>
    <font>
      <b/>
      <sz val="20"/>
      <color rgb="FFF2F2F2"/>
      <name val="Calibri"/>
      <family val="2"/>
    </font>
    <font>
      <b/>
      <sz val="14"/>
      <color rgb="FFE46C0A"/>
      <name val="Calibri"/>
      <family val="2"/>
    </font>
    <font>
      <b/>
      <u/>
      <sz val="16"/>
      <color rgb="FFE46C0A"/>
      <name val="Calibri"/>
      <family val="2"/>
    </font>
    <font>
      <u/>
      <sz val="11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FF99"/>
        <bgColor rgb="FFFFFF99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3D69B"/>
        <bgColor rgb="FFC3D69B"/>
      </patternFill>
    </fill>
    <fill>
      <patternFill patternType="solid">
        <fgColor rgb="FFFAC090"/>
        <bgColor rgb="FFFAC090"/>
      </patternFill>
    </fill>
    <fill>
      <patternFill patternType="solid">
        <fgColor rgb="FFC6EFCE"/>
        <bgColor rgb="FFC6EF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3CDDD"/>
        <bgColor rgb="FF93CDDD"/>
      </patternFill>
    </fill>
    <fill>
      <patternFill patternType="solid">
        <fgColor rgb="FFB7DEE8"/>
        <bgColor rgb="FFB7DEE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376092"/>
        <bgColor rgb="FF376092"/>
      </patternFill>
    </fill>
    <fill>
      <patternFill patternType="solid">
        <fgColor rgb="FFBFBFBF"/>
        <bgColor rgb="FFBFBFBF"/>
      </patternFill>
    </fill>
    <fill>
      <patternFill patternType="solid">
        <fgColor rgb="FF558ED5"/>
        <bgColor rgb="FF558ED5"/>
      </patternFill>
    </fill>
    <fill>
      <patternFill patternType="solid">
        <fgColor rgb="FF17375E"/>
        <bgColor rgb="FF17375E"/>
      </patternFill>
    </fill>
    <fill>
      <patternFill patternType="solid">
        <fgColor rgb="FFE46C0A"/>
        <bgColor rgb="FFE46C0A"/>
      </patternFill>
    </fill>
    <fill>
      <patternFill patternType="solid">
        <fgColor rgb="FF953735"/>
        <bgColor rgb="FF953735"/>
      </patternFill>
    </fill>
    <fill>
      <patternFill patternType="solid">
        <fgColor rgb="FFA6A6A6"/>
        <bgColor rgb="FFA6A6A6"/>
      </patternFill>
    </fill>
    <fill>
      <patternFill patternType="solid">
        <fgColor rgb="FFF2F2F2"/>
        <bgColor rgb="FFF2F2F2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57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1" fillId="5" borderId="0">
      <protection locked="0"/>
    </xf>
    <xf numFmtId="0" fontId="4" fillId="6" borderId="0"/>
    <xf numFmtId="0" fontId="5" fillId="7" borderId="0"/>
    <xf numFmtId="0" fontId="9" fillId="11" borderId="0"/>
    <xf numFmtId="174" fontId="1" fillId="0" borderId="0"/>
    <xf numFmtId="175" fontId="1" fillId="0" borderId="0"/>
    <xf numFmtId="0" fontId="10" fillId="0" borderId="0"/>
    <xf numFmtId="173" fontId="1" fillId="0" borderId="0"/>
    <xf numFmtId="0" fontId="11" fillId="0" borderId="0"/>
    <xf numFmtId="0" fontId="12" fillId="12" borderId="0"/>
    <xf numFmtId="0" fontId="13" fillId="0" borderId="0"/>
    <xf numFmtId="0" fontId="14" fillId="0" borderId="0"/>
    <xf numFmtId="0" fontId="15" fillId="0" borderId="0"/>
    <xf numFmtId="0" fontId="16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0" fontId="17" fillId="13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0" fillId="13" borderId="1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4" fillId="0" borderId="0"/>
  </cellStyleXfs>
  <cellXfs count="169">
    <xf numFmtId="0" fontId="0" fillId="0" borderId="0" xfId="0"/>
    <xf numFmtId="0" fontId="22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ont="1" applyAlignment="1" applyProtection="1">
      <alignment wrapText="1"/>
    </xf>
    <xf numFmtId="173" fontId="0" fillId="0" borderId="0" xfId="0" applyNumberFormat="1" applyFont="1" applyAlignment="1" applyProtection="1">
      <alignment wrapText="1"/>
    </xf>
    <xf numFmtId="0" fontId="0" fillId="14" borderId="0" xfId="0" applyFill="1" applyAlignment="1" applyProtection="1">
      <alignment wrapText="1"/>
    </xf>
    <xf numFmtId="0" fontId="23" fillId="14" borderId="0" xfId="0" applyFont="1" applyFill="1" applyAlignment="1" applyProtection="1">
      <alignment horizontal="center"/>
    </xf>
    <xf numFmtId="0" fontId="0" fillId="15" borderId="0" xfId="0" applyFill="1" applyAlignment="1" applyProtection="1">
      <alignment wrapText="1"/>
    </xf>
    <xf numFmtId="0" fontId="0" fillId="16" borderId="2" xfId="0" applyFill="1" applyBorder="1" applyAlignment="1" applyProtection="1">
      <alignment wrapText="1"/>
    </xf>
    <xf numFmtId="0" fontId="0" fillId="15" borderId="0" xfId="0" applyFill="1" applyAlignment="1" applyProtection="1"/>
    <xf numFmtId="0" fontId="23" fillId="17" borderId="2" xfId="0" applyFont="1" applyFill="1" applyBorder="1" applyAlignment="1" applyProtection="1"/>
    <xf numFmtId="0" fontId="0" fillId="15" borderId="0" xfId="0" applyFill="1" applyAlignment="1" applyProtection="1">
      <alignment horizontal="left"/>
    </xf>
    <xf numFmtId="0" fontId="0" fillId="16" borderId="2" xfId="0" applyFill="1" applyBorder="1" applyAlignment="1" applyProtection="1">
      <alignment horizontal="center" wrapText="1"/>
      <protection locked="0"/>
    </xf>
    <xf numFmtId="0" fontId="23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24" fillId="18" borderId="0" xfId="0" applyFont="1" applyFill="1" applyAlignment="1" applyProtection="1">
      <alignment wrapText="1"/>
    </xf>
    <xf numFmtId="0" fontId="25" fillId="18" borderId="0" xfId="0" applyFont="1" applyFill="1" applyAlignment="1" applyProtection="1">
      <alignment wrapText="1"/>
    </xf>
    <xf numFmtId="0" fontId="24" fillId="18" borderId="0" xfId="0" applyFont="1" applyFill="1" applyAlignment="1" applyProtection="1"/>
    <xf numFmtId="0" fontId="26" fillId="0" borderId="0" xfId="0" applyFont="1" applyAlignment="1" applyProtection="1">
      <alignment wrapText="1"/>
    </xf>
    <xf numFmtId="173" fontId="0" fillId="0" borderId="0" xfId="12" applyFont="1" applyFill="1" applyBorder="1" applyAlignment="1" applyProtection="1">
      <alignment wrapText="1"/>
    </xf>
    <xf numFmtId="1" fontId="0" fillId="17" borderId="2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wrapText="1"/>
    </xf>
    <xf numFmtId="167" fontId="0" fillId="16" borderId="2" xfId="0" applyNumberFormat="1" applyFont="1" applyFill="1" applyBorder="1" applyAlignment="1" applyProtection="1">
      <alignment vertical="center" wrapText="1"/>
      <protection locked="0"/>
    </xf>
    <xf numFmtId="166" fontId="0" fillId="17" borderId="2" xfId="0" applyNumberFormat="1" applyFont="1" applyFill="1" applyBorder="1" applyAlignment="1" applyProtection="1">
      <alignment horizontal="center" vertical="center" wrapText="1"/>
    </xf>
    <xf numFmtId="173" fontId="0" fillId="0" borderId="0" xfId="12" applyFont="1" applyFill="1" applyBorder="1" applyAlignment="1" applyProtection="1">
      <alignment horizontal="center" wrapText="1"/>
    </xf>
    <xf numFmtId="166" fontId="0" fillId="16" borderId="2" xfId="0" applyNumberFormat="1" applyFill="1" applyBorder="1" applyAlignment="1" applyProtection="1">
      <alignment wrapText="1"/>
      <protection locked="0"/>
    </xf>
    <xf numFmtId="0" fontId="0" fillId="19" borderId="2" xfId="12" applyNumberFormat="1" applyFont="1" applyFill="1" applyBorder="1" applyAlignment="1" applyProtection="1">
      <alignment horizontal="center" wrapText="1"/>
      <protection locked="0"/>
    </xf>
    <xf numFmtId="0" fontId="0" fillId="17" borderId="2" xfId="0" applyFill="1" applyBorder="1" applyAlignment="1" applyProtection="1">
      <alignment horizontal="center" wrapText="1"/>
    </xf>
    <xf numFmtId="167" fontId="0" fillId="16" borderId="2" xfId="0" applyNumberFormat="1" applyFill="1" applyBorder="1" applyAlignment="1" applyProtection="1">
      <alignment wrapText="1"/>
      <protection locked="0"/>
    </xf>
    <xf numFmtId="1" fontId="0" fillId="17" borderId="2" xfId="0" applyNumberFormat="1" applyFill="1" applyBorder="1" applyAlignment="1" applyProtection="1">
      <alignment horizontal="center" wrapText="1"/>
    </xf>
    <xf numFmtId="166" fontId="0" fillId="16" borderId="2" xfId="0" applyNumberFormat="1" applyFill="1" applyBorder="1" applyAlignment="1" applyProtection="1">
      <alignment horizontal="center" wrapText="1"/>
      <protection locked="0"/>
    </xf>
    <xf numFmtId="0" fontId="0" fillId="16" borderId="2" xfId="0" applyFill="1" applyBorder="1" applyAlignment="1" applyProtection="1">
      <alignment wrapText="1"/>
      <protection locked="0"/>
    </xf>
    <xf numFmtId="172" fontId="0" fillId="0" borderId="2" xfId="0" applyNumberFormat="1" applyBorder="1" applyAlignment="1" applyProtection="1">
      <alignment horizontal="center" wrapText="1"/>
    </xf>
    <xf numFmtId="0" fontId="27" fillId="0" borderId="3" xfId="0" applyFont="1" applyBorder="1" applyAlignment="1" applyProtection="1">
      <alignment horizontal="left" wrapText="1"/>
    </xf>
    <xf numFmtId="0" fontId="27" fillId="0" borderId="4" xfId="0" applyFont="1" applyBorder="1" applyAlignment="1" applyProtection="1">
      <alignment horizontal="left" wrapText="1"/>
    </xf>
    <xf numFmtId="166" fontId="0" fillId="17" borderId="2" xfId="0" applyNumberFormat="1" applyFill="1" applyBorder="1" applyAlignment="1" applyProtection="1">
      <alignment horizontal="center" wrapText="1"/>
    </xf>
    <xf numFmtId="173" fontId="0" fillId="16" borderId="2" xfId="12" applyFont="1" applyFill="1" applyBorder="1" applyAlignment="1" applyProtection="1">
      <alignment wrapText="1"/>
      <protection locked="0"/>
    </xf>
    <xf numFmtId="170" fontId="0" fillId="16" borderId="2" xfId="12" applyNumberFormat="1" applyFont="1" applyFill="1" applyBorder="1" applyAlignment="1" applyProtection="1">
      <alignment wrapText="1"/>
      <protection locked="0"/>
    </xf>
    <xf numFmtId="167" fontId="0" fillId="16" borderId="2" xfId="0" applyNumberFormat="1" applyFill="1" applyBorder="1" applyAlignment="1" applyProtection="1">
      <alignment horizontal="center" wrapText="1"/>
      <protection locked="0"/>
    </xf>
    <xf numFmtId="166" fontId="0" fillId="17" borderId="2" xfId="0" applyNumberFormat="1" applyFont="1" applyFill="1" applyBorder="1" applyAlignment="1" applyProtection="1">
      <alignment horizontal="center" wrapText="1"/>
    </xf>
    <xf numFmtId="170" fontId="0" fillId="0" borderId="0" xfId="0" applyNumberFormat="1" applyFont="1" applyAlignment="1" applyProtection="1">
      <alignment wrapText="1"/>
    </xf>
    <xf numFmtId="0" fontId="27" fillId="0" borderId="3" xfId="0" applyFont="1" applyBorder="1" applyAlignment="1" applyProtection="1">
      <alignment horizontal="left" vertical="center" wrapText="1"/>
    </xf>
    <xf numFmtId="0" fontId="27" fillId="0" borderId="5" xfId="0" applyFont="1" applyBorder="1" applyAlignment="1" applyProtection="1">
      <alignment horizontal="left" vertical="center" wrapText="1"/>
    </xf>
    <xf numFmtId="0" fontId="27" fillId="0" borderId="4" xfId="0" applyFont="1" applyBorder="1" applyAlignment="1" applyProtection="1">
      <alignment horizontal="left" vertical="center" wrapText="1"/>
    </xf>
    <xf numFmtId="171" fontId="0" fillId="16" borderId="2" xfId="10" applyNumberFormat="1" applyFont="1" applyFill="1" applyBorder="1" applyAlignment="1" applyProtection="1">
      <alignment wrapText="1"/>
      <protection locked="0"/>
    </xf>
    <xf numFmtId="0" fontId="30" fillId="0" borderId="6" xfId="28" applyFont="1" applyFill="1" applyBorder="1" applyAlignment="1" applyProtection="1">
      <alignment wrapText="1"/>
    </xf>
    <xf numFmtId="0" fontId="31" fillId="20" borderId="7" xfId="28" applyFont="1" applyFill="1" applyBorder="1" applyAlignment="1" applyProtection="1">
      <alignment horizontal="center" vertical="center" wrapText="1"/>
    </xf>
    <xf numFmtId="0" fontId="31" fillId="20" borderId="8" xfId="28" applyFont="1" applyFill="1" applyBorder="1" applyAlignment="1" applyProtection="1">
      <alignment horizontal="center" vertical="center" wrapText="1"/>
    </xf>
    <xf numFmtId="1" fontId="31" fillId="20" borderId="8" xfId="28" applyNumberFormat="1" applyFont="1" applyFill="1" applyBorder="1" applyAlignment="1" applyProtection="1">
      <alignment horizontal="center" vertical="center" wrapText="1"/>
    </xf>
    <xf numFmtId="0" fontId="18" fillId="0" borderId="0" xfId="28" applyFont="1" applyFill="1" applyAlignment="1" applyProtection="1">
      <alignment wrapText="1"/>
    </xf>
    <xf numFmtId="0" fontId="32" fillId="0" borderId="0" xfId="28" applyFont="1" applyFill="1" applyAlignment="1" applyProtection="1">
      <alignment wrapText="1"/>
    </xf>
    <xf numFmtId="0" fontId="0" fillId="0" borderId="3" xfId="0" applyBorder="1" applyAlignment="1" applyProtection="1">
      <alignment horizontal="left" wrapText="1"/>
    </xf>
    <xf numFmtId="0" fontId="33" fillId="19" borderId="3" xfId="0" applyFont="1" applyFill="1" applyBorder="1" applyAlignment="1" applyProtection="1">
      <alignment horizontal="left" wrapText="1"/>
    </xf>
    <xf numFmtId="1" fontId="34" fillId="19" borderId="2" xfId="0" applyNumberFormat="1" applyFont="1" applyFill="1" applyBorder="1" applyAlignment="1" applyProtection="1">
      <alignment horizontal="center" wrapText="1"/>
    </xf>
    <xf numFmtId="0" fontId="35" fillId="0" borderId="0" xfId="0" applyFont="1" applyAlignment="1" applyProtection="1">
      <alignment wrapText="1"/>
    </xf>
    <xf numFmtId="0" fontId="0" fillId="0" borderId="4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/>
    </xf>
    <xf numFmtId="0" fontId="36" fillId="0" borderId="5" xfId="0" applyFont="1" applyBorder="1" applyAlignment="1" applyProtection="1">
      <alignment horizontal="left" wrapText="1"/>
    </xf>
    <xf numFmtId="1" fontId="37" fillId="0" borderId="5" xfId="0" applyNumberFormat="1" applyFont="1" applyBorder="1" applyAlignment="1" applyProtection="1">
      <alignment horizontal="center" wrapText="1"/>
    </xf>
    <xf numFmtId="0" fontId="38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wrapText="1"/>
    </xf>
    <xf numFmtId="166" fontId="0" fillId="0" borderId="4" xfId="0" applyNumberFormat="1" applyBorder="1" applyAlignment="1" applyProtection="1">
      <alignment horizontal="center" wrapText="1"/>
    </xf>
    <xf numFmtId="166" fontId="0" fillId="0" borderId="5" xfId="0" applyNumberFormat="1" applyBorder="1" applyAlignment="1" applyProtection="1">
      <alignment horizontal="center" wrapText="1"/>
    </xf>
    <xf numFmtId="166" fontId="0" fillId="19" borderId="3" xfId="0" applyNumberFormat="1" applyFont="1" applyFill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left" wrapText="1"/>
    </xf>
    <xf numFmtId="173" fontId="0" fillId="0" borderId="2" xfId="12" applyFont="1" applyFill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169" fontId="0" fillId="0" borderId="0" xfId="0" applyNumberFormat="1" applyAlignment="1" applyProtection="1">
      <alignment wrapText="1"/>
    </xf>
    <xf numFmtId="167" fontId="0" fillId="17" borderId="2" xfId="0" applyNumberFormat="1" applyFill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7" fontId="0" fillId="17" borderId="2" xfId="12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wrapText="1"/>
    </xf>
    <xf numFmtId="2" fontId="0" fillId="17" borderId="2" xfId="0" applyNumberFormat="1" applyFill="1" applyBorder="1" applyAlignment="1" applyProtection="1">
      <alignment horizontal="center" wrapText="1"/>
    </xf>
    <xf numFmtId="168" fontId="0" fillId="0" borderId="0" xfId="0" applyNumberFormat="1" applyAlignment="1" applyProtection="1">
      <alignment wrapText="1"/>
    </xf>
    <xf numFmtId="0" fontId="0" fillId="0" borderId="0" xfId="0" applyProtection="1"/>
    <xf numFmtId="0" fontId="0" fillId="0" borderId="0" xfId="0" applyFont="1" applyProtection="1"/>
    <xf numFmtId="0" fontId="21" fillId="14" borderId="0" xfId="0" applyFont="1" applyFill="1" applyBorder="1" applyAlignment="1" applyProtection="1">
      <alignment horizontal="center" wrapText="1"/>
    </xf>
    <xf numFmtId="0" fontId="24" fillId="18" borderId="0" xfId="0" applyFont="1" applyFill="1" applyBorder="1" applyAlignment="1" applyProtection="1">
      <alignment horizontal="left" wrapText="1"/>
    </xf>
    <xf numFmtId="0" fontId="0" fillId="0" borderId="2" xfId="0" applyFill="1" applyBorder="1"/>
    <xf numFmtId="0" fontId="27" fillId="0" borderId="2" xfId="0" applyFont="1" applyFill="1" applyBorder="1" applyAlignment="1" applyProtection="1">
      <alignment horizontal="left" vertical="center" wrapText="1"/>
    </xf>
    <xf numFmtId="0" fontId="27" fillId="0" borderId="2" xfId="0" applyFont="1" applyFill="1" applyBorder="1" applyAlignment="1" applyProtection="1">
      <alignment horizontal="left" wrapText="1"/>
    </xf>
    <xf numFmtId="0" fontId="27" fillId="0" borderId="2" xfId="0" applyFont="1" applyFill="1" applyBorder="1" applyAlignment="1" applyProtection="1">
      <alignment horizontal="center" vertical="center" wrapText="1"/>
    </xf>
    <xf numFmtId="0" fontId="0" fillId="18" borderId="0" xfId="0" applyFill="1" applyBorder="1"/>
    <xf numFmtId="0" fontId="0" fillId="0" borderId="3" xfId="0" applyFill="1" applyBorder="1" applyAlignment="1" applyProtection="1">
      <alignment horizontal="left" wrapText="1"/>
    </xf>
    <xf numFmtId="0" fontId="33" fillId="19" borderId="3" xfId="0" applyFont="1" applyFill="1" applyBorder="1" applyAlignment="1" applyProtection="1">
      <alignment horizontal="left" wrapText="1"/>
    </xf>
    <xf numFmtId="0" fontId="0" fillId="0" borderId="2" xfId="0" applyFill="1" applyBorder="1" applyAlignment="1" applyProtection="1">
      <alignment horizontal="left" wrapText="1"/>
    </xf>
    <xf numFmtId="0" fontId="0" fillId="0" borderId="2" xfId="0" applyFill="1" applyBorder="1" applyAlignment="1" applyProtection="1">
      <alignment horizontal="left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horizontal="left" wrapText="1"/>
    </xf>
    <xf numFmtId="0" fontId="39" fillId="0" borderId="2" xfId="0" applyFont="1" applyFill="1" applyBorder="1" applyAlignment="1" applyProtection="1">
      <alignment horizontal="left" wrapText="1"/>
    </xf>
    <xf numFmtId="0" fontId="40" fillId="0" borderId="0" xfId="0" applyFont="1" applyFill="1" applyBorder="1" applyAlignment="1"/>
    <xf numFmtId="0" fontId="0" fillId="0" borderId="0" xfId="0" applyAlignment="1">
      <alignment horizontal="center"/>
    </xf>
    <xf numFmtId="0" fontId="41" fillId="0" borderId="9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19" borderId="2" xfId="0" applyFont="1" applyFill="1" applyBorder="1" applyAlignment="1">
      <alignment vertical="center" wrapText="1"/>
    </xf>
    <xf numFmtId="0" fontId="42" fillId="19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44" fillId="0" borderId="8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27" fillId="22" borderId="2" xfId="0" applyFont="1" applyFill="1" applyBorder="1" applyAlignment="1">
      <alignment horizontal="center" vertical="center" wrapText="1"/>
    </xf>
    <xf numFmtId="0" fontId="27" fillId="16" borderId="2" xfId="0" applyFont="1" applyFill="1" applyBorder="1" applyProtection="1">
      <protection locked="0"/>
    </xf>
    <xf numFmtId="0" fontId="0" fillId="16" borderId="2" xfId="0" applyFill="1" applyBorder="1" applyAlignment="1" applyProtection="1">
      <alignment horizontal="center"/>
      <protection locked="0"/>
    </xf>
    <xf numFmtId="0" fontId="0" fillId="16" borderId="2" xfId="0" applyFont="1" applyFill="1" applyBorder="1" applyAlignment="1" applyProtection="1">
      <alignment horizontal="center"/>
      <protection locked="0"/>
    </xf>
    <xf numFmtId="1" fontId="0" fillId="17" borderId="2" xfId="0" applyNumberForma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27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0" fillId="0" borderId="0" xfId="11" applyFill="1" applyBorder="1" applyAlignment="1" applyProtection="1">
      <alignment horizontal="left" vertical="center" wrapText="1"/>
    </xf>
    <xf numFmtId="0" fontId="45" fillId="0" borderId="0" xfId="0" applyFont="1" applyFill="1" applyAlignment="1"/>
    <xf numFmtId="0" fontId="45" fillId="0" borderId="6" xfId="0" applyFont="1" applyFill="1" applyBorder="1" applyAlignment="1"/>
    <xf numFmtId="0" fontId="46" fillId="22" borderId="2" xfId="0" applyFont="1" applyFill="1" applyBorder="1" applyAlignment="1">
      <alignment horizontal="center"/>
    </xf>
    <xf numFmtId="0" fontId="0" fillId="0" borderId="0" xfId="0" applyFont="1"/>
    <xf numFmtId="0" fontId="47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40" fillId="21" borderId="3" xfId="0" applyFont="1" applyFill="1" applyBorder="1" applyAlignment="1">
      <alignment horizontal="center"/>
    </xf>
    <xf numFmtId="0" fontId="0" fillId="0" borderId="10" xfId="0" applyFill="1" applyBorder="1" applyAlignment="1">
      <alignment horizontal="left" vertical="center" wrapText="1"/>
    </xf>
    <xf numFmtId="0" fontId="10" fillId="0" borderId="11" xfId="11" applyFill="1" applyBorder="1" applyAlignment="1" applyProtection="1">
      <alignment horizontal="left" vertical="center" wrapText="1"/>
    </xf>
    <xf numFmtId="0" fontId="49" fillId="0" borderId="0" xfId="0" applyFont="1" applyFill="1" applyAlignment="1"/>
    <xf numFmtId="0" fontId="15" fillId="0" borderId="0" xfId="0" applyFont="1" applyAlignment="1">
      <alignment vertical="center"/>
    </xf>
    <xf numFmtId="0" fontId="42" fillId="24" borderId="2" xfId="0" applyFont="1" applyFill="1" applyBorder="1" applyAlignment="1">
      <alignment horizontal="center" vertical="center" wrapText="1"/>
    </xf>
    <xf numFmtId="0" fontId="42" fillId="24" borderId="2" xfId="0" applyFont="1" applyFill="1" applyBorder="1" applyAlignment="1">
      <alignment horizontal="center" vertical="center"/>
    </xf>
    <xf numFmtId="0" fontId="27" fillId="24" borderId="2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7" fillId="0" borderId="2" xfId="0" applyFont="1" applyBorder="1"/>
    <xf numFmtId="1" fontId="0" fillId="16" borderId="2" xfId="0" applyNumberFormat="1" applyFill="1" applyBorder="1" applyAlignment="1" applyProtection="1">
      <alignment horizontal="center"/>
      <protection locked="0"/>
    </xf>
    <xf numFmtId="165" fontId="0" fillId="16" borderId="2" xfId="0" applyNumberFormat="1" applyFill="1" applyBorder="1" applyAlignment="1" applyProtection="1">
      <alignment horizontal="center" vertical="center"/>
      <protection locked="0"/>
    </xf>
    <xf numFmtId="1" fontId="27" fillId="17" borderId="2" xfId="10" applyNumberFormat="1" applyFont="1" applyFill="1" applyBorder="1" applyAlignment="1" applyProtection="1">
      <alignment horizontal="center"/>
    </xf>
    <xf numFmtId="2" fontId="0" fillId="0" borderId="0" xfId="0" applyNumberFormat="1" applyAlignment="1">
      <alignment horizontal="center"/>
    </xf>
    <xf numFmtId="0" fontId="42" fillId="25" borderId="12" xfId="0" applyFont="1" applyFill="1" applyBorder="1" applyAlignment="1">
      <alignment horizontal="left" vertical="center"/>
    </xf>
    <xf numFmtId="0" fontId="0" fillId="0" borderId="7" xfId="0" applyBorder="1"/>
    <xf numFmtId="0" fontId="27" fillId="25" borderId="13" xfId="0" applyFont="1" applyFill="1" applyBorder="1"/>
    <xf numFmtId="0" fontId="0" fillId="0" borderId="14" xfId="0" applyBorder="1"/>
    <xf numFmtId="0" fontId="27" fillId="25" borderId="15" xfId="0" applyFont="1" applyFill="1" applyBorder="1"/>
    <xf numFmtId="0" fontId="0" fillId="0" borderId="6" xfId="0" applyBorder="1"/>
    <xf numFmtId="0" fontId="0" fillId="25" borderId="13" xfId="0" applyFill="1" applyBorder="1"/>
    <xf numFmtId="0" fontId="0" fillId="16" borderId="11" xfId="0" applyFill="1" applyBorder="1" applyAlignment="1" applyProtection="1">
      <alignment horizontal="center"/>
      <protection locked="0"/>
    </xf>
    <xf numFmtId="1" fontId="27" fillId="17" borderId="8" xfId="10" applyNumberFormat="1" applyFont="1" applyFill="1" applyBorder="1" applyAlignment="1" applyProtection="1">
      <alignment horizontal="center"/>
    </xf>
    <xf numFmtId="164" fontId="46" fillId="22" borderId="13" xfId="0" applyNumberFormat="1" applyFont="1" applyFill="1" applyBorder="1" applyAlignment="1">
      <alignment horizontal="center"/>
    </xf>
    <xf numFmtId="1" fontId="46" fillId="22" borderId="2" xfId="0" applyNumberFormat="1" applyFont="1" applyFill="1" applyBorder="1" applyAlignment="1">
      <alignment horizontal="center"/>
    </xf>
    <xf numFmtId="0" fontId="46" fillId="0" borderId="0" xfId="0" applyFont="1" applyFill="1" applyAlignment="1"/>
    <xf numFmtId="0" fontId="0" fillId="0" borderId="0" xfId="0" applyAlignment="1">
      <alignment vertical="center" wrapText="1"/>
    </xf>
    <xf numFmtId="0" fontId="42" fillId="19" borderId="3" xfId="0" applyFont="1" applyFill="1" applyBorder="1" applyAlignment="1">
      <alignment horizontal="center" vertical="center" wrapText="1"/>
    </xf>
    <xf numFmtId="0" fontId="42" fillId="17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5" fillId="16" borderId="2" xfId="0" applyFont="1" applyFill="1" applyBorder="1" applyAlignment="1" applyProtection="1">
      <alignment horizontal="center"/>
      <protection locked="0"/>
    </xf>
    <xf numFmtId="0" fontId="15" fillId="17" borderId="2" xfId="0" applyFont="1" applyFill="1" applyBorder="1" applyAlignment="1">
      <alignment horizontal="center"/>
    </xf>
    <xf numFmtId="0" fontId="0" fillId="25" borderId="15" xfId="0" applyFill="1" applyBorder="1"/>
    <xf numFmtId="0" fontId="0" fillId="0" borderId="15" xfId="0" applyBorder="1"/>
    <xf numFmtId="0" fontId="0" fillId="0" borderId="13" xfId="0" applyBorder="1"/>
    <xf numFmtId="0" fontId="42" fillId="25" borderId="15" xfId="0" applyFont="1" applyFill="1" applyBorder="1" applyAlignment="1">
      <alignment horizontal="left" vertical="center"/>
    </xf>
    <xf numFmtId="0" fontId="27" fillId="0" borderId="8" xfId="0" applyFont="1" applyBorder="1"/>
    <xf numFmtId="0" fontId="15" fillId="17" borderId="8" xfId="0" applyFont="1" applyFill="1" applyBorder="1" applyAlignment="1">
      <alignment horizontal="center"/>
    </xf>
    <xf numFmtId="164" fontId="46" fillId="22" borderId="2" xfId="0" applyNumberFormat="1" applyFont="1" applyFill="1" applyBorder="1" applyAlignment="1">
      <alignment horizontal="center"/>
    </xf>
    <xf numFmtId="0" fontId="27" fillId="0" borderId="2" xfId="0" applyFont="1" applyFill="1" applyBorder="1"/>
    <xf numFmtId="0" fontId="0" fillId="16" borderId="2" xfId="0" applyFill="1" applyBorder="1" applyProtection="1">
      <protection locked="0"/>
    </xf>
    <xf numFmtId="0" fontId="0" fillId="0" borderId="0" xfId="0" applyAlignment="1"/>
    <xf numFmtId="0" fontId="48" fillId="23" borderId="0" xfId="0" applyFont="1" applyFill="1" applyBorder="1" applyAlignment="1">
      <alignment horizontal="center"/>
    </xf>
    <xf numFmtId="0" fontId="46" fillId="22" borderId="2" xfId="0" applyFont="1" applyFill="1" applyBorder="1" applyAlignment="1">
      <alignment horizontal="right"/>
    </xf>
  </cellXfs>
  <cellStyles count="57">
    <cellStyle name="Accent" xfId="1"/>
    <cellStyle name="Accent 1" xfId="2"/>
    <cellStyle name="Accent 2" xfId="3"/>
    <cellStyle name="Accent 3" xfId="4"/>
    <cellStyle name="Active" xfId="5"/>
    <cellStyle name="Bad" xfId="6"/>
    <cellStyle name="ConditionalStyle_1" xfId="7"/>
    <cellStyle name="Error" xfId="8"/>
    <cellStyle name="Euro" xfId="9"/>
    <cellStyle name="Excel Built-in Comma" xfId="10"/>
    <cellStyle name="Excel Built-in Hyperlink" xfId="11"/>
    <cellStyle name="Excel Built-in Percent" xfId="12"/>
    <cellStyle name="Footnote" xfId="13"/>
    <cellStyle name="Good" xfId="14"/>
    <cellStyle name="Heading (user)" xfId="15"/>
    <cellStyle name="Heading 1" xfId="16"/>
    <cellStyle name="Heading 2" xfId="17"/>
    <cellStyle name="Hyperlink" xfId="18"/>
    <cellStyle name="Milliers 2" xfId="19"/>
    <cellStyle name="Milliers 2 2" xfId="20"/>
    <cellStyle name="Milliers 2 2 2" xfId="21"/>
    <cellStyle name="Milliers 2 3" xfId="22"/>
    <cellStyle name="Milliers 2 3 2" xfId="23"/>
    <cellStyle name="Milliers 2 4" xfId="24"/>
    <cellStyle name="Neutral" xfId="25"/>
    <cellStyle name="Normal" xfId="0" builtinId="0" customBuiltin="1"/>
    <cellStyle name="Normal 2" xfId="26"/>
    <cellStyle name="Normal 3" xfId="27"/>
    <cellStyle name="Normal 4" xfId="28"/>
    <cellStyle name="Normal 4 2" xfId="29"/>
    <cellStyle name="Normal 4 2 2" xfId="30"/>
    <cellStyle name="Normal 4 3" xfId="31"/>
    <cellStyle name="Normal 4 3 2" xfId="32"/>
    <cellStyle name="Normal 4 4" xfId="33"/>
    <cellStyle name="Normal 5" xfId="34"/>
    <cellStyle name="Normal 5 2" xfId="35"/>
    <cellStyle name="Normal 5 2 2" xfId="36"/>
    <cellStyle name="Normal 5 3" xfId="37"/>
    <cellStyle name="Normal 6" xfId="38"/>
    <cellStyle name="Normal 7" xfId="39"/>
    <cellStyle name="Normal 8" xfId="40"/>
    <cellStyle name="Note" xfId="41"/>
    <cellStyle name="Pourcentage 2" xfId="42"/>
    <cellStyle name="Pourcentage 2 2" xfId="43"/>
    <cellStyle name="Pourcentage 2 2 2" xfId="44"/>
    <cellStyle name="Pourcentage 2 3" xfId="45"/>
    <cellStyle name="Pourcentage 2 3 2" xfId="46"/>
    <cellStyle name="Pourcentage 2 4" xfId="47"/>
    <cellStyle name="Pourcentage 3" xfId="48"/>
    <cellStyle name="Pourcentage 3 2" xfId="49"/>
    <cellStyle name="Pourcentage 3 2 2" xfId="50"/>
    <cellStyle name="Pourcentage 3 3" xfId="51"/>
    <cellStyle name="Pourcentage 4" xfId="52"/>
    <cellStyle name="Pourcentage 5" xfId="53"/>
    <cellStyle name="Status" xfId="54"/>
    <cellStyle name="Text" xfId="55"/>
    <cellStyle name="Warning" xfId="56"/>
  </cellStyles>
  <dxfs count="1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321840</xdr:colOff>
      <xdr:row>0</xdr:row>
      <xdr:rowOff>0</xdr:rowOff>
    </xdr:from>
    <xdr:ext cx="1961640" cy="776160"/>
    <xdr:pic>
      <xdr:nvPicPr>
        <xdr:cNvPr id="2" name="Image 2"/>
        <xdr:cNvPicPr>
          <a:picLocks noChangeAspect="1"/>
        </xdr:cNvPicPr>
      </xdr:nvPicPr>
      <xdr:blipFill>
        <a:blip xmlns:r="http://schemas.openxmlformats.org/officeDocument/2006/relationships" r:embed="rId1">
          <a:lum bright="-50000"/>
          <a:alphaModFix/>
        </a:blip>
        <a:srcRect/>
        <a:stretch>
          <a:fillRect/>
        </a:stretch>
      </xdr:blipFill>
      <xdr:spPr>
        <a:xfrm>
          <a:off x="12561465" y="0"/>
          <a:ext cx="1961640" cy="7761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ntralesvillageoises.fr/web/guest/actual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62"/>
  <sheetViews>
    <sheetView tabSelected="1" workbookViewId="0">
      <selection activeCell="D40" sqref="D40"/>
    </sheetView>
  </sheetViews>
  <sheetFormatPr baseColWidth="10" defaultRowHeight="16.899999999999999" customHeight="1" x14ac:dyDescent="0.25"/>
  <cols>
    <col min="1" max="1" width="25" style="2" customWidth="1"/>
    <col min="2" max="2" width="17.5703125" style="2" customWidth="1"/>
    <col min="3" max="3" width="14.140625" style="2" customWidth="1"/>
    <col min="4" max="4" width="13.42578125" style="2" customWidth="1"/>
    <col min="5" max="5" width="9" style="2" customWidth="1"/>
    <col min="6" max="6" width="11.28515625" style="2" customWidth="1"/>
    <col min="7" max="11" width="9" style="2" customWidth="1"/>
    <col min="12" max="12" width="11" style="2" customWidth="1"/>
    <col min="13" max="13" width="10.140625" style="2" customWidth="1"/>
    <col min="14" max="23" width="9" style="2" customWidth="1"/>
    <col min="24" max="25" width="12.28515625" style="2" customWidth="1"/>
    <col min="26" max="26" width="15.5703125" style="2" customWidth="1"/>
    <col min="27" max="35" width="12.28515625" style="3" customWidth="1"/>
    <col min="36" max="1024" width="12.28515625" style="2" customWidth="1"/>
  </cols>
  <sheetData>
    <row r="1" spans="1:39" s="1" customFormat="1" ht="16.899999999999999" customHeight="1" x14ac:dyDescent="0.3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Y1" s="2"/>
      <c r="Z1" s="2"/>
      <c r="AA1" s="3"/>
      <c r="AD1" s="4">
        <v>1</v>
      </c>
      <c r="AE1" s="3"/>
      <c r="AF1" s="3"/>
      <c r="AG1" s="3"/>
      <c r="AH1" s="3"/>
      <c r="AI1" s="3"/>
      <c r="AJ1" s="2"/>
      <c r="AK1" s="2"/>
      <c r="AL1" s="2"/>
      <c r="AM1" s="2"/>
    </row>
    <row r="2" spans="1:39" ht="16.899999999999999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AB2" s="3">
        <f t="shared" ref="AB2:AB11" si="0">AB3-20</f>
        <v>200</v>
      </c>
      <c r="AC2" s="3">
        <v>8</v>
      </c>
      <c r="AD2" s="4">
        <v>1.01</v>
      </c>
      <c r="AE2" s="3" t="s">
        <v>2</v>
      </c>
      <c r="AF2" s="4">
        <v>0.05</v>
      </c>
    </row>
    <row r="3" spans="1:39" ht="16.899999999999999" customHeight="1" x14ac:dyDescent="0.25">
      <c r="A3" s="7"/>
      <c r="B3" s="7"/>
      <c r="C3" s="7"/>
      <c r="D3" s="7"/>
      <c r="E3" s="7"/>
      <c r="F3" s="7"/>
      <c r="G3" s="8"/>
      <c r="H3" s="9" t="s">
        <v>3</v>
      </c>
      <c r="I3" s="9"/>
      <c r="J3" s="7"/>
      <c r="K3" s="7"/>
      <c r="L3" s="7"/>
      <c r="M3" s="10"/>
      <c r="N3" s="11" t="s">
        <v>4</v>
      </c>
      <c r="O3" s="7"/>
      <c r="P3" s="7"/>
      <c r="Q3" s="7"/>
      <c r="R3" s="7"/>
      <c r="S3" s="7"/>
      <c r="T3" s="7"/>
      <c r="U3" s="7"/>
      <c r="V3" s="7"/>
      <c r="W3" s="7"/>
      <c r="AB3" s="3">
        <f t="shared" si="0"/>
        <v>220</v>
      </c>
      <c r="AC3" s="3">
        <v>9</v>
      </c>
      <c r="AD3" s="4"/>
      <c r="AE3" s="3" t="s">
        <v>5</v>
      </c>
      <c r="AF3" s="4"/>
    </row>
    <row r="4" spans="1:39" ht="16.899999999999999" customHeight="1" x14ac:dyDescent="0.25">
      <c r="A4" s="2" t="s">
        <v>6</v>
      </c>
      <c r="B4" s="12" t="s">
        <v>2</v>
      </c>
      <c r="J4" s="13"/>
      <c r="AB4" s="3">
        <f t="shared" si="0"/>
        <v>240</v>
      </c>
      <c r="AC4" s="3">
        <v>10</v>
      </c>
      <c r="AD4" s="4"/>
      <c r="AF4" s="4"/>
    </row>
    <row r="5" spans="1:39" ht="16.899999999999999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AB5" s="3">
        <f t="shared" si="0"/>
        <v>260</v>
      </c>
      <c r="AC5" s="3">
        <v>11</v>
      </c>
      <c r="AD5" s="4">
        <v>1.02</v>
      </c>
      <c r="AF5" s="4">
        <f>AF2+5%</f>
        <v>0.1</v>
      </c>
    </row>
    <row r="6" spans="1:39" s="18" customFormat="1" ht="16.899999999999999" customHeight="1" x14ac:dyDescent="0.25">
      <c r="A6" s="15" t="s">
        <v>7</v>
      </c>
      <c r="B6" s="15"/>
      <c r="C6" s="15"/>
      <c r="D6" s="16"/>
      <c r="E6" s="16"/>
      <c r="F6" s="17" t="s">
        <v>8</v>
      </c>
      <c r="G6" s="16"/>
      <c r="H6" s="16"/>
      <c r="I6" s="16"/>
      <c r="J6" s="16"/>
      <c r="K6" s="78" t="s">
        <v>9</v>
      </c>
      <c r="L6" s="78"/>
      <c r="M6" s="78"/>
      <c r="N6" s="78"/>
      <c r="O6" s="16"/>
      <c r="P6" s="16"/>
      <c r="Q6" s="16"/>
      <c r="R6" s="16"/>
      <c r="S6" s="16"/>
      <c r="T6" s="16"/>
      <c r="U6" s="16"/>
      <c r="V6" s="16"/>
      <c r="W6" s="16"/>
      <c r="Y6" s="2"/>
      <c r="Z6" s="2"/>
      <c r="AA6" s="3"/>
      <c r="AB6" s="3">
        <f t="shared" si="0"/>
        <v>280</v>
      </c>
      <c r="AC6" s="3">
        <v>12</v>
      </c>
      <c r="AD6" s="19">
        <v>1.03</v>
      </c>
      <c r="AE6" s="3"/>
      <c r="AF6" s="4">
        <f t="shared" ref="AF6:AF14" si="1">AF5+5%</f>
        <v>0.15000000000000002</v>
      </c>
      <c r="AG6" s="3"/>
      <c r="AH6" s="3"/>
      <c r="AI6" s="3"/>
      <c r="AJ6" s="2"/>
      <c r="AK6" s="2"/>
      <c r="AL6" s="2"/>
      <c r="AM6" s="2"/>
    </row>
    <row r="7" spans="1:39" ht="16.899999999999999" customHeight="1" x14ac:dyDescent="0.25">
      <c r="AB7" s="3">
        <f t="shared" si="0"/>
        <v>300</v>
      </c>
      <c r="AC7" s="3">
        <v>13</v>
      </c>
      <c r="AD7" s="19">
        <f t="shared" ref="AD7:AD19" si="2">1%+AD6</f>
        <v>1.04</v>
      </c>
      <c r="AF7" s="4">
        <f t="shared" si="1"/>
        <v>0.2</v>
      </c>
    </row>
    <row r="8" spans="1:39" s="21" customFormat="1" ht="15" x14ac:dyDescent="0.25">
      <c r="A8" s="80" t="s">
        <v>10</v>
      </c>
      <c r="B8" s="80"/>
      <c r="C8" s="20">
        <f>ENCAISSEMENTS!C39</f>
        <v>534</v>
      </c>
      <c r="F8" s="80" t="s">
        <v>11</v>
      </c>
      <c r="G8" s="80"/>
      <c r="H8" s="80"/>
      <c r="I8" s="22">
        <v>8.0000000000000002E-3</v>
      </c>
      <c r="K8" s="80" t="s">
        <v>12</v>
      </c>
      <c r="L8" s="80"/>
      <c r="M8" s="23">
        <f>M9*M10</f>
        <v>10000</v>
      </c>
      <c r="N8" s="24">
        <f>M8/C11</f>
        <v>7.6560005818560442E-2</v>
      </c>
      <c r="O8" s="80" t="s">
        <v>13</v>
      </c>
      <c r="P8" s="80"/>
      <c r="Q8" s="25">
        <v>6500</v>
      </c>
      <c r="R8" s="2"/>
      <c r="S8" s="80" t="s">
        <v>14</v>
      </c>
      <c r="T8" s="80"/>
      <c r="U8" s="80"/>
      <c r="V8" s="26">
        <f>(M8+M14)/C11</f>
        <v>0.5787936439883169</v>
      </c>
      <c r="W8" s="2"/>
      <c r="X8" s="2"/>
      <c r="Y8" s="2"/>
      <c r="Z8" s="2"/>
      <c r="AA8" s="3"/>
      <c r="AB8" s="3">
        <f t="shared" si="0"/>
        <v>320</v>
      </c>
      <c r="AC8" s="3">
        <v>14</v>
      </c>
      <c r="AD8" s="19">
        <f t="shared" si="2"/>
        <v>1.05</v>
      </c>
      <c r="AF8" s="4">
        <f t="shared" si="1"/>
        <v>0.25</v>
      </c>
    </row>
    <row r="9" spans="1:39" ht="15" x14ac:dyDescent="0.25">
      <c r="A9" s="81" t="s">
        <v>15</v>
      </c>
      <c r="B9" s="81"/>
      <c r="C9" s="27">
        <f>ENCAISSEMENTS!D39</f>
        <v>102.73</v>
      </c>
      <c r="F9" s="80" t="s">
        <v>16</v>
      </c>
      <c r="G9" s="80"/>
      <c r="H9" s="80"/>
      <c r="I9" s="22">
        <v>4.0000000000000001E-3</v>
      </c>
      <c r="K9" s="81" t="s">
        <v>17</v>
      </c>
      <c r="L9" s="81"/>
      <c r="M9" s="12">
        <v>200</v>
      </c>
      <c r="O9" s="80" t="s">
        <v>18</v>
      </c>
      <c r="P9" s="80"/>
      <c r="Q9" s="28">
        <v>0.02</v>
      </c>
      <c r="AB9" s="3">
        <f t="shared" si="0"/>
        <v>340</v>
      </c>
      <c r="AC9" s="3">
        <v>15</v>
      </c>
      <c r="AD9" s="19">
        <f t="shared" si="2"/>
        <v>1.06</v>
      </c>
      <c r="AF9" s="4">
        <f t="shared" si="1"/>
        <v>0.3</v>
      </c>
    </row>
    <row r="10" spans="1:39" ht="15" x14ac:dyDescent="0.25">
      <c r="A10" s="80" t="s">
        <v>19</v>
      </c>
      <c r="B10" s="80"/>
      <c r="C10" s="29">
        <f>ENCAISSEMENTS!E39</f>
        <v>128510</v>
      </c>
      <c r="F10" s="80" t="s">
        <v>20</v>
      </c>
      <c r="G10" s="80"/>
      <c r="H10" s="80"/>
      <c r="I10" s="28">
        <v>0.02</v>
      </c>
      <c r="K10" s="81" t="s">
        <v>21</v>
      </c>
      <c r="L10" s="81"/>
      <c r="M10" s="30">
        <v>50</v>
      </c>
      <c r="O10" s="80" t="s">
        <v>22</v>
      </c>
      <c r="P10" s="80"/>
      <c r="Q10" s="31">
        <v>3</v>
      </c>
      <c r="S10" s="80" t="s">
        <v>23</v>
      </c>
      <c r="T10" s="80"/>
      <c r="U10" s="80"/>
      <c r="V10" s="32">
        <f>DECAISSEMENTS!C39/(ENCAISSEMENTS!D39*1000)</f>
        <v>1.1735130925727635</v>
      </c>
      <c r="AB10" s="3">
        <f t="shared" si="0"/>
        <v>360</v>
      </c>
      <c r="AC10" s="3">
        <v>16</v>
      </c>
      <c r="AD10" s="19">
        <f t="shared" si="2"/>
        <v>1.07</v>
      </c>
      <c r="AF10" s="4">
        <f t="shared" si="1"/>
        <v>0.35</v>
      </c>
    </row>
    <row r="11" spans="1:39" ht="15" x14ac:dyDescent="0.25">
      <c r="A11" s="33" t="s">
        <v>24</v>
      </c>
      <c r="B11" s="34"/>
      <c r="C11" s="35">
        <f>DECAISSEMENTS!M39</f>
        <v>130616.5</v>
      </c>
      <c r="F11" s="80" t="s">
        <v>25</v>
      </c>
      <c r="G11" s="80"/>
      <c r="H11" s="80"/>
      <c r="I11" s="36">
        <v>0.57999999999999996</v>
      </c>
      <c r="K11" s="80" t="s">
        <v>26</v>
      </c>
      <c r="L11" s="80"/>
      <c r="M11" s="23">
        <f>1.01*C11-M8-Q8-M14</f>
        <v>49822.665000000008</v>
      </c>
      <c r="AB11" s="3">
        <f t="shared" si="0"/>
        <v>380</v>
      </c>
      <c r="AD11" s="19">
        <f t="shared" si="2"/>
        <v>1.08</v>
      </c>
      <c r="AF11" s="4">
        <f t="shared" si="1"/>
        <v>0.39999999999999997</v>
      </c>
    </row>
    <row r="12" spans="1:39" ht="15" x14ac:dyDescent="0.25">
      <c r="A12" s="33" t="s">
        <v>27</v>
      </c>
      <c r="B12" s="34"/>
      <c r="C12" s="35">
        <f>ENCAISSEMENTS!H39</f>
        <v>15511.157000000001</v>
      </c>
      <c r="F12" s="80" t="s">
        <v>28</v>
      </c>
      <c r="G12" s="80"/>
      <c r="H12" s="80"/>
      <c r="I12" s="37">
        <v>0.57499999999999996</v>
      </c>
      <c r="K12" s="81" t="s">
        <v>29</v>
      </c>
      <c r="L12" s="81"/>
      <c r="M12" s="38">
        <v>1.7999999999999999E-2</v>
      </c>
      <c r="AB12" s="3">
        <v>400</v>
      </c>
      <c r="AD12" s="19">
        <f t="shared" si="2"/>
        <v>1.0900000000000001</v>
      </c>
      <c r="AF12" s="4">
        <f t="shared" si="1"/>
        <v>0.44999999999999996</v>
      </c>
    </row>
    <row r="13" spans="1:39" ht="15" x14ac:dyDescent="0.25">
      <c r="A13" s="33" t="s">
        <v>30</v>
      </c>
      <c r="B13" s="34"/>
      <c r="C13" s="39">
        <f>DECAISSEMENTS!K80</f>
        <v>2955</v>
      </c>
      <c r="F13" s="80" t="s">
        <v>31</v>
      </c>
      <c r="G13" s="80"/>
      <c r="H13" s="80"/>
      <c r="I13" s="37">
        <v>0.03</v>
      </c>
      <c r="K13" s="81" t="s">
        <v>22</v>
      </c>
      <c r="L13" s="81"/>
      <c r="M13" s="12">
        <v>10</v>
      </c>
      <c r="AB13" s="3">
        <v>450</v>
      </c>
      <c r="AD13" s="19">
        <f t="shared" si="2"/>
        <v>1.1000000000000001</v>
      </c>
      <c r="AF13" s="4">
        <f t="shared" si="1"/>
        <v>0.49999999999999994</v>
      </c>
    </row>
    <row r="14" spans="1:39" ht="15" x14ac:dyDescent="0.25">
      <c r="A14" s="80" t="s">
        <v>32</v>
      </c>
      <c r="B14" s="80"/>
      <c r="C14" s="39">
        <f>DECAISSEMENTS!E84+DECAISSEMENTS!E85</f>
        <v>0</v>
      </c>
      <c r="F14" s="80" t="s">
        <v>33</v>
      </c>
      <c r="G14" s="80"/>
      <c r="H14" s="80"/>
      <c r="I14" s="37">
        <v>0.17199999999999999</v>
      </c>
      <c r="K14" s="81" t="s">
        <v>34</v>
      </c>
      <c r="L14" s="81"/>
      <c r="M14" s="12">
        <v>65600</v>
      </c>
      <c r="AB14" s="3">
        <v>475</v>
      </c>
      <c r="AD14" s="19">
        <f t="shared" si="2"/>
        <v>1.1100000000000001</v>
      </c>
      <c r="AF14" s="4">
        <f t="shared" si="1"/>
        <v>0.54999999999999993</v>
      </c>
    </row>
    <row r="15" spans="1:39" ht="14.45" customHeight="1" x14ac:dyDescent="0.25">
      <c r="A15" s="81" t="s">
        <v>35</v>
      </c>
      <c r="B15" s="81"/>
      <c r="C15" s="39">
        <f>DECAISSEMENTS!E86</f>
        <v>0</v>
      </c>
      <c r="F15" s="82" t="s">
        <v>36</v>
      </c>
      <c r="G15" s="82"/>
      <c r="H15" s="82"/>
      <c r="I15" s="37">
        <v>0.99</v>
      </c>
      <c r="AB15" s="3">
        <v>500</v>
      </c>
      <c r="AD15" s="19">
        <f t="shared" si="2"/>
        <v>1.1200000000000001</v>
      </c>
      <c r="AF15" s="40">
        <v>0.57499999999999996</v>
      </c>
    </row>
    <row r="16" spans="1:39" ht="14.45" customHeight="1" x14ac:dyDescent="0.25">
      <c r="A16" s="81" t="s">
        <v>37</v>
      </c>
      <c r="B16" s="81"/>
      <c r="C16" s="39">
        <f>DECAISSEMENTS!E87</f>
        <v>0</v>
      </c>
      <c r="F16" s="41" t="s">
        <v>38</v>
      </c>
      <c r="G16" s="42"/>
      <c r="H16" s="43"/>
      <c r="I16" s="44">
        <v>195</v>
      </c>
      <c r="AB16" s="3">
        <f>AB15+50</f>
        <v>550</v>
      </c>
      <c r="AD16" s="19">
        <f t="shared" si="2"/>
        <v>1.1300000000000001</v>
      </c>
      <c r="AF16" s="4">
        <f>AF14+5%</f>
        <v>0.6</v>
      </c>
    </row>
    <row r="17" spans="1:44" ht="16.899999999999999" customHeight="1" x14ac:dyDescent="0.25">
      <c r="AB17" s="3">
        <f t="shared" ref="AB17:AB61" si="3">AB16+10</f>
        <v>560</v>
      </c>
      <c r="AD17" s="19">
        <f t="shared" si="2"/>
        <v>1.1400000000000001</v>
      </c>
      <c r="AF17" s="4">
        <f t="shared" ref="AF17:AF24" si="4">AF16+5%</f>
        <v>0.65</v>
      </c>
    </row>
    <row r="18" spans="1:44" ht="16.899999999999999" customHeight="1" x14ac:dyDescent="0.25">
      <c r="A18" s="78" t="s">
        <v>39</v>
      </c>
      <c r="B18" s="78"/>
      <c r="C18" s="78"/>
      <c r="D18" s="78"/>
      <c r="E18" s="78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AB18" s="3">
        <f t="shared" si="3"/>
        <v>570</v>
      </c>
      <c r="AD18" s="19">
        <f t="shared" si="2"/>
        <v>1.1500000000000001</v>
      </c>
      <c r="AF18" s="4">
        <f t="shared" si="4"/>
        <v>0.70000000000000007</v>
      </c>
    </row>
    <row r="19" spans="1:44" ht="16.899999999999999" customHeight="1" x14ac:dyDescent="0.25">
      <c r="AB19" s="3">
        <f t="shared" si="3"/>
        <v>580</v>
      </c>
      <c r="AD19" s="19">
        <f t="shared" si="2"/>
        <v>1.1600000000000001</v>
      </c>
      <c r="AF19" s="4">
        <f t="shared" si="4"/>
        <v>0.75000000000000011</v>
      </c>
    </row>
    <row r="20" spans="1:44" ht="16.899999999999999" customHeight="1" x14ac:dyDescent="0.25">
      <c r="B20" s="45"/>
      <c r="C20" s="46">
        <v>0</v>
      </c>
      <c r="D20" s="46">
        <v>1</v>
      </c>
      <c r="E20" s="47">
        <v>2</v>
      </c>
      <c r="F20" s="48">
        <v>3</v>
      </c>
      <c r="G20" s="48">
        <v>4</v>
      </c>
      <c r="H20" s="48">
        <v>5</v>
      </c>
      <c r="I20" s="48">
        <v>6</v>
      </c>
      <c r="J20" s="48">
        <v>7</v>
      </c>
      <c r="K20" s="48">
        <v>8</v>
      </c>
      <c r="L20" s="48">
        <v>9</v>
      </c>
      <c r="M20" s="48">
        <v>10</v>
      </c>
      <c r="N20" s="48">
        <v>11</v>
      </c>
      <c r="O20" s="48">
        <v>12</v>
      </c>
      <c r="P20" s="48">
        <v>13</v>
      </c>
      <c r="Q20" s="48">
        <v>14</v>
      </c>
      <c r="R20" s="48">
        <v>15</v>
      </c>
      <c r="S20" s="48">
        <v>16</v>
      </c>
      <c r="T20" s="48">
        <v>17</v>
      </c>
      <c r="U20" s="47">
        <v>18</v>
      </c>
      <c r="V20" s="47">
        <v>19</v>
      </c>
      <c r="W20" s="47">
        <v>20</v>
      </c>
      <c r="AB20" s="3">
        <f t="shared" si="3"/>
        <v>590</v>
      </c>
      <c r="AF20" s="4">
        <f t="shared" si="4"/>
        <v>0.80000000000000016</v>
      </c>
      <c r="AN20" s="49"/>
      <c r="AO20" s="49"/>
      <c r="AP20" s="49"/>
      <c r="AQ20" s="49"/>
      <c r="AR20" s="50"/>
    </row>
    <row r="21" spans="1:44" ht="16.899999999999999" customHeight="1" x14ac:dyDescent="0.25">
      <c r="A21" s="84" t="s">
        <v>40</v>
      </c>
      <c r="B21" s="84"/>
      <c r="C21" s="51"/>
      <c r="D21" s="29">
        <f>C12*$I$15</f>
        <v>15356.04543</v>
      </c>
      <c r="E21" s="29">
        <f t="shared" ref="E21:W21" si="5">$D$21*(1-perte_prod)^(E20-1)*(1+index_tarif)^(E20-1)</f>
        <v>15294.12985482624</v>
      </c>
      <c r="F21" s="29">
        <f t="shared" si="5"/>
        <v>15232.46392325158</v>
      </c>
      <c r="G21" s="29">
        <f t="shared" si="5"/>
        <v>15171.046628713029</v>
      </c>
      <c r="H21" s="29">
        <f t="shared" si="5"/>
        <v>15109.876968706059</v>
      </c>
      <c r="I21" s="29">
        <f t="shared" si="5"/>
        <v>15048.953944768236</v>
      </c>
      <c r="J21" s="29">
        <f t="shared" si="5"/>
        <v>14988.276562462926</v>
      </c>
      <c r="K21" s="29">
        <f t="shared" si="5"/>
        <v>14927.843831363078</v>
      </c>
      <c r="L21" s="29">
        <f t="shared" si="5"/>
        <v>14867.654765035022</v>
      </c>
      <c r="M21" s="29">
        <f t="shared" si="5"/>
        <v>14807.708381022401</v>
      </c>
      <c r="N21" s="29">
        <f t="shared" si="5"/>
        <v>14748.003700830117</v>
      </c>
      <c r="O21" s="29">
        <f t="shared" si="5"/>
        <v>14688.539749908372</v>
      </c>
      <c r="P21" s="29">
        <f t="shared" si="5"/>
        <v>14629.315557636741</v>
      </c>
      <c r="Q21" s="29">
        <f t="shared" si="5"/>
        <v>14570.33015730835</v>
      </c>
      <c r="R21" s="29">
        <f t="shared" si="5"/>
        <v>14511.58258611408</v>
      </c>
      <c r="S21" s="29">
        <f t="shared" si="5"/>
        <v>14453.071885126868</v>
      </c>
      <c r="T21" s="29">
        <f t="shared" si="5"/>
        <v>14394.797099286039</v>
      </c>
      <c r="U21" s="29">
        <f t="shared" si="5"/>
        <v>14336.757277381719</v>
      </c>
      <c r="V21" s="29">
        <f t="shared" si="5"/>
        <v>14278.951472039314</v>
      </c>
      <c r="W21" s="29">
        <f t="shared" si="5"/>
        <v>14221.378739704049</v>
      </c>
      <c r="AB21" s="3">
        <f t="shared" si="3"/>
        <v>600</v>
      </c>
      <c r="AF21" s="4">
        <f t="shared" si="4"/>
        <v>0.8500000000000002</v>
      </c>
    </row>
    <row r="22" spans="1:44" ht="16.899999999999999" customHeight="1" x14ac:dyDescent="0.25">
      <c r="A22" s="84" t="s">
        <v>41</v>
      </c>
      <c r="B22" s="84"/>
      <c r="C22" s="51"/>
      <c r="D22" s="29">
        <f>C14+C13</f>
        <v>2955</v>
      </c>
      <c r="E22" s="29">
        <f t="shared" ref="E22:M22" si="6">$C$13*(1+inflation)^(E20-1)</f>
        <v>3014.1</v>
      </c>
      <c r="F22" s="29">
        <f t="shared" si="6"/>
        <v>3074.3820000000001</v>
      </c>
      <c r="G22" s="29">
        <f t="shared" si="6"/>
        <v>3135.8696399999999</v>
      </c>
      <c r="H22" s="29">
        <f t="shared" si="6"/>
        <v>3198.5870328000001</v>
      </c>
      <c r="I22" s="29">
        <f t="shared" si="6"/>
        <v>3262.5587734559999</v>
      </c>
      <c r="J22" s="29">
        <f t="shared" si="6"/>
        <v>3327.8099489251204</v>
      </c>
      <c r="K22" s="29">
        <f t="shared" si="6"/>
        <v>3394.3661479036218</v>
      </c>
      <c r="L22" s="29">
        <f t="shared" si="6"/>
        <v>3462.2534708616945</v>
      </c>
      <c r="M22" s="29">
        <f t="shared" si="6"/>
        <v>3531.4985402789284</v>
      </c>
      <c r="N22" s="29">
        <f>(C15+C13+C16/5)*(1+inflation)^(N20-1)</f>
        <v>3602.1285110845074</v>
      </c>
      <c r="O22" s="29">
        <f>($C$13+C16/5)*(1+inflation)^(O20-1)</f>
        <v>3674.1710813061968</v>
      </c>
      <c r="P22" s="29">
        <f>($C$13+C16/5)*(1+inflation)^(P20-1)</f>
        <v>3747.6545029323211</v>
      </c>
      <c r="Q22" s="29">
        <f>($C$13+C16/5)*(1+inflation)^(Q20-1)</f>
        <v>3822.6075929909675</v>
      </c>
      <c r="R22" s="29">
        <f>($C$13+C16/5)*(1+inflation)^(R20-1)</f>
        <v>3899.0597448507874</v>
      </c>
      <c r="S22" s="29">
        <f>$C$13*(1+inflation)^(S20-1)</f>
        <v>3977.040939747802</v>
      </c>
      <c r="T22" s="29">
        <f>$C$13*(1+inflation)^(T20-1)</f>
        <v>4056.5817585427585</v>
      </c>
      <c r="U22" s="29">
        <f>$C$13*(1+inflation)^(U20-1)</f>
        <v>4137.7133937136141</v>
      </c>
      <c r="V22" s="29">
        <f>$C$13*(1+inflation)^(V20-1)</f>
        <v>4220.4676615878861</v>
      </c>
      <c r="W22" s="29">
        <f>$C$13*(1+inflation)^(W20-1)</f>
        <v>4304.8770148196436</v>
      </c>
      <c r="AB22" s="3">
        <f t="shared" si="3"/>
        <v>610</v>
      </c>
      <c r="AF22" s="4">
        <f t="shared" si="4"/>
        <v>0.90000000000000024</v>
      </c>
    </row>
    <row r="23" spans="1:44" s="54" customFormat="1" ht="16.899999999999999" customHeight="1" x14ac:dyDescent="0.25">
      <c r="A23" s="85" t="s">
        <v>42</v>
      </c>
      <c r="B23" s="85"/>
      <c r="C23" s="52"/>
      <c r="D23" s="53">
        <f t="shared" ref="D23:W23" si="7">D21-D22</f>
        <v>12401.04543</v>
      </c>
      <c r="E23" s="53">
        <f t="shared" si="7"/>
        <v>12280.02985482624</v>
      </c>
      <c r="F23" s="53">
        <f t="shared" si="7"/>
        <v>12158.081923251581</v>
      </c>
      <c r="G23" s="53">
        <f t="shared" si="7"/>
        <v>12035.176988713029</v>
      </c>
      <c r="H23" s="53">
        <f t="shared" si="7"/>
        <v>11911.289935906059</v>
      </c>
      <c r="I23" s="53">
        <f t="shared" si="7"/>
        <v>11786.395171312237</v>
      </c>
      <c r="J23" s="53">
        <f t="shared" si="7"/>
        <v>11660.466613537807</v>
      </c>
      <c r="K23" s="53">
        <f t="shared" si="7"/>
        <v>11533.477683459456</v>
      </c>
      <c r="L23" s="53">
        <f t="shared" si="7"/>
        <v>11405.401294173327</v>
      </c>
      <c r="M23" s="53">
        <f t="shared" si="7"/>
        <v>11276.209840743473</v>
      </c>
      <c r="N23" s="53">
        <f t="shared" si="7"/>
        <v>11145.87518974561</v>
      </c>
      <c r="O23" s="53">
        <f t="shared" si="7"/>
        <v>11014.368668602176</v>
      </c>
      <c r="P23" s="53">
        <f t="shared" si="7"/>
        <v>10881.66105470442</v>
      </c>
      <c r="Q23" s="53">
        <f t="shared" si="7"/>
        <v>10747.722564317382</v>
      </c>
      <c r="R23" s="53">
        <f t="shared" si="7"/>
        <v>10612.522841263293</v>
      </c>
      <c r="S23" s="53">
        <f t="shared" si="7"/>
        <v>10476.030945379067</v>
      </c>
      <c r="T23" s="53">
        <f t="shared" si="7"/>
        <v>10338.215340743282</v>
      </c>
      <c r="U23" s="53">
        <f t="shared" si="7"/>
        <v>10199.043883668106</v>
      </c>
      <c r="V23" s="53">
        <f t="shared" si="7"/>
        <v>10058.483810451427</v>
      </c>
      <c r="W23" s="53">
        <f t="shared" si="7"/>
        <v>9916.5017248844051</v>
      </c>
      <c r="AA23" s="3"/>
      <c r="AB23" s="3">
        <f t="shared" si="3"/>
        <v>620</v>
      </c>
      <c r="AC23" s="3"/>
      <c r="AD23" s="3"/>
      <c r="AE23" s="3"/>
      <c r="AF23" s="4">
        <f t="shared" si="4"/>
        <v>0.95000000000000029</v>
      </c>
      <c r="AG23" s="3"/>
      <c r="AH23" s="3"/>
      <c r="AI23" s="3"/>
    </row>
    <row r="24" spans="1:44" ht="16.899999999999999" customHeight="1" x14ac:dyDescent="0.25">
      <c r="A24" s="84" t="s">
        <v>43</v>
      </c>
      <c r="B24" s="84"/>
      <c r="C24" s="51"/>
      <c r="D24" s="29">
        <f t="shared" ref="D24:W24" si="8">$I$16</f>
        <v>195</v>
      </c>
      <c r="E24" s="29">
        <f t="shared" si="8"/>
        <v>195</v>
      </c>
      <c r="F24" s="29">
        <f t="shared" si="8"/>
        <v>195</v>
      </c>
      <c r="G24" s="29">
        <f t="shared" si="8"/>
        <v>195</v>
      </c>
      <c r="H24" s="29">
        <f t="shared" si="8"/>
        <v>195</v>
      </c>
      <c r="I24" s="29">
        <f t="shared" si="8"/>
        <v>195</v>
      </c>
      <c r="J24" s="29">
        <f t="shared" si="8"/>
        <v>195</v>
      </c>
      <c r="K24" s="29">
        <f t="shared" si="8"/>
        <v>195</v>
      </c>
      <c r="L24" s="29">
        <f t="shared" si="8"/>
        <v>195</v>
      </c>
      <c r="M24" s="29">
        <f t="shared" si="8"/>
        <v>195</v>
      </c>
      <c r="N24" s="29">
        <f t="shared" si="8"/>
        <v>195</v>
      </c>
      <c r="O24" s="29">
        <f t="shared" si="8"/>
        <v>195</v>
      </c>
      <c r="P24" s="29">
        <f t="shared" si="8"/>
        <v>195</v>
      </c>
      <c r="Q24" s="29">
        <f t="shared" si="8"/>
        <v>195</v>
      </c>
      <c r="R24" s="29">
        <f t="shared" si="8"/>
        <v>195</v>
      </c>
      <c r="S24" s="29">
        <f t="shared" si="8"/>
        <v>195</v>
      </c>
      <c r="T24" s="29">
        <f t="shared" si="8"/>
        <v>195</v>
      </c>
      <c r="U24" s="29">
        <f t="shared" si="8"/>
        <v>195</v>
      </c>
      <c r="V24" s="29">
        <f t="shared" si="8"/>
        <v>195</v>
      </c>
      <c r="W24" s="29">
        <f t="shared" si="8"/>
        <v>195</v>
      </c>
      <c r="AB24" s="3">
        <f t="shared" si="3"/>
        <v>630</v>
      </c>
      <c r="AF24" s="4">
        <f t="shared" si="4"/>
        <v>1.0000000000000002</v>
      </c>
    </row>
    <row r="25" spans="1:44" s="54" customFormat="1" ht="16.899999999999999" customHeight="1" x14ac:dyDescent="0.25">
      <c r="A25" s="85" t="s">
        <v>44</v>
      </c>
      <c r="B25" s="85"/>
      <c r="C25" s="52"/>
      <c r="D25" s="53">
        <f t="shared" ref="D25:W25" si="9">D23-D24</f>
        <v>12206.04543</v>
      </c>
      <c r="E25" s="53">
        <f t="shared" si="9"/>
        <v>12085.02985482624</v>
      </c>
      <c r="F25" s="53">
        <f t="shared" si="9"/>
        <v>11963.081923251581</v>
      </c>
      <c r="G25" s="53">
        <f t="shared" si="9"/>
        <v>11840.176988713029</v>
      </c>
      <c r="H25" s="53">
        <f t="shared" si="9"/>
        <v>11716.289935906059</v>
      </c>
      <c r="I25" s="53">
        <f t="shared" si="9"/>
        <v>11591.395171312237</v>
      </c>
      <c r="J25" s="53">
        <f t="shared" si="9"/>
        <v>11465.466613537807</v>
      </c>
      <c r="K25" s="53">
        <f t="shared" si="9"/>
        <v>11338.477683459456</v>
      </c>
      <c r="L25" s="53">
        <f t="shared" si="9"/>
        <v>11210.401294173327</v>
      </c>
      <c r="M25" s="53">
        <f t="shared" si="9"/>
        <v>11081.209840743473</v>
      </c>
      <c r="N25" s="53">
        <f t="shared" si="9"/>
        <v>10950.87518974561</v>
      </c>
      <c r="O25" s="53">
        <f t="shared" si="9"/>
        <v>10819.368668602176</v>
      </c>
      <c r="P25" s="53">
        <f t="shared" si="9"/>
        <v>10686.66105470442</v>
      </c>
      <c r="Q25" s="53">
        <f t="shared" si="9"/>
        <v>10552.722564317382</v>
      </c>
      <c r="R25" s="53">
        <f t="shared" si="9"/>
        <v>10417.522841263293</v>
      </c>
      <c r="S25" s="53">
        <f t="shared" si="9"/>
        <v>10281.030945379067</v>
      </c>
      <c r="T25" s="53">
        <f t="shared" si="9"/>
        <v>10143.215340743282</v>
      </c>
      <c r="U25" s="53">
        <f t="shared" si="9"/>
        <v>10004.043883668106</v>
      </c>
      <c r="V25" s="53">
        <f t="shared" si="9"/>
        <v>9863.4838104514274</v>
      </c>
      <c r="W25" s="53">
        <f t="shared" si="9"/>
        <v>9721.5017248844051</v>
      </c>
      <c r="AA25" s="3"/>
      <c r="AB25" s="3">
        <f t="shared" si="3"/>
        <v>640</v>
      </c>
      <c r="AC25" s="3"/>
      <c r="AD25" s="3"/>
      <c r="AE25" s="3"/>
      <c r="AF25" s="4"/>
      <c r="AG25" s="3"/>
      <c r="AH25" s="3"/>
      <c r="AI25" s="3"/>
    </row>
    <row r="26" spans="1:44" ht="16.899999999999999" customHeight="1" x14ac:dyDescent="0.25">
      <c r="A26" s="84" t="s">
        <v>45</v>
      </c>
      <c r="B26" s="84"/>
      <c r="C26" s="51"/>
      <c r="D26" s="29">
        <f t="shared" ref="D26:W26" si="10">($C$11-$M$14)/20</f>
        <v>3250.8249999999998</v>
      </c>
      <c r="E26" s="29">
        <f t="shared" si="10"/>
        <v>3250.8249999999998</v>
      </c>
      <c r="F26" s="29">
        <f t="shared" si="10"/>
        <v>3250.8249999999998</v>
      </c>
      <c r="G26" s="29">
        <f t="shared" si="10"/>
        <v>3250.8249999999998</v>
      </c>
      <c r="H26" s="29">
        <f t="shared" si="10"/>
        <v>3250.8249999999998</v>
      </c>
      <c r="I26" s="29">
        <f t="shared" si="10"/>
        <v>3250.8249999999998</v>
      </c>
      <c r="J26" s="29">
        <f t="shared" si="10"/>
        <v>3250.8249999999998</v>
      </c>
      <c r="K26" s="29">
        <f t="shared" si="10"/>
        <v>3250.8249999999998</v>
      </c>
      <c r="L26" s="29">
        <f t="shared" si="10"/>
        <v>3250.8249999999998</v>
      </c>
      <c r="M26" s="29">
        <f t="shared" si="10"/>
        <v>3250.8249999999998</v>
      </c>
      <c r="N26" s="29">
        <f t="shared" si="10"/>
        <v>3250.8249999999998</v>
      </c>
      <c r="O26" s="29">
        <f t="shared" si="10"/>
        <v>3250.8249999999998</v>
      </c>
      <c r="P26" s="29">
        <f t="shared" si="10"/>
        <v>3250.8249999999998</v>
      </c>
      <c r="Q26" s="29">
        <f t="shared" si="10"/>
        <v>3250.8249999999998</v>
      </c>
      <c r="R26" s="29">
        <f t="shared" si="10"/>
        <v>3250.8249999999998</v>
      </c>
      <c r="S26" s="29">
        <f t="shared" si="10"/>
        <v>3250.8249999999998</v>
      </c>
      <c r="T26" s="29">
        <f t="shared" si="10"/>
        <v>3250.8249999999998</v>
      </c>
      <c r="U26" s="29">
        <f t="shared" si="10"/>
        <v>3250.8249999999998</v>
      </c>
      <c r="V26" s="29">
        <f t="shared" si="10"/>
        <v>3250.8249999999998</v>
      </c>
      <c r="W26" s="29">
        <f t="shared" si="10"/>
        <v>3250.8249999999998</v>
      </c>
      <c r="AB26" s="3">
        <f t="shared" si="3"/>
        <v>650</v>
      </c>
      <c r="AF26" s="4"/>
    </row>
    <row r="27" spans="1:44" ht="15" x14ac:dyDescent="0.25">
      <c r="A27" s="86" t="s">
        <v>46</v>
      </c>
      <c r="B27" s="86"/>
      <c r="C27" s="55"/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AB27" s="3">
        <f t="shared" si="3"/>
        <v>660</v>
      </c>
      <c r="AF27" s="4"/>
    </row>
    <row r="28" spans="1:44" s="54" customFormat="1" ht="16.899999999999999" customHeight="1" x14ac:dyDescent="0.25">
      <c r="A28" s="85" t="s">
        <v>47</v>
      </c>
      <c r="B28" s="85"/>
      <c r="C28" s="52"/>
      <c r="D28" s="53">
        <f t="shared" ref="D28:W28" si="11">D25-D26-D27</f>
        <v>8955.2204300000012</v>
      </c>
      <c r="E28" s="53">
        <f t="shared" si="11"/>
        <v>8834.2048548262392</v>
      </c>
      <c r="F28" s="53">
        <f t="shared" si="11"/>
        <v>8712.2569232515816</v>
      </c>
      <c r="G28" s="53">
        <f t="shared" si="11"/>
        <v>8589.3519887130278</v>
      </c>
      <c r="H28" s="53">
        <f t="shared" si="11"/>
        <v>8465.4649359060604</v>
      </c>
      <c r="I28" s="53">
        <f t="shared" si="11"/>
        <v>8340.5701713122362</v>
      </c>
      <c r="J28" s="53">
        <f t="shared" si="11"/>
        <v>8214.6416135378058</v>
      </c>
      <c r="K28" s="53">
        <f t="shared" si="11"/>
        <v>8087.6526834594561</v>
      </c>
      <c r="L28" s="53">
        <f t="shared" si="11"/>
        <v>7959.5762941733274</v>
      </c>
      <c r="M28" s="53">
        <f t="shared" si="11"/>
        <v>7830.3848407434734</v>
      </c>
      <c r="N28" s="53">
        <f t="shared" si="11"/>
        <v>7700.0501897456097</v>
      </c>
      <c r="O28" s="53">
        <f t="shared" si="11"/>
        <v>7568.5436686021758</v>
      </c>
      <c r="P28" s="53">
        <f t="shared" si="11"/>
        <v>7435.8360547044203</v>
      </c>
      <c r="Q28" s="53">
        <f t="shared" si="11"/>
        <v>7301.8975643173826</v>
      </c>
      <c r="R28" s="53">
        <f t="shared" si="11"/>
        <v>7166.6978412632934</v>
      </c>
      <c r="S28" s="53">
        <f t="shared" si="11"/>
        <v>7030.2059453790671</v>
      </c>
      <c r="T28" s="53">
        <f t="shared" si="11"/>
        <v>6892.3903407432817</v>
      </c>
      <c r="U28" s="53">
        <f t="shared" si="11"/>
        <v>6753.2188836681062</v>
      </c>
      <c r="V28" s="53">
        <f t="shared" si="11"/>
        <v>6612.6588104514276</v>
      </c>
      <c r="W28" s="53">
        <f t="shared" si="11"/>
        <v>6470.6767248844053</v>
      </c>
      <c r="AA28" s="3"/>
      <c r="AB28" s="3">
        <f t="shared" si="3"/>
        <v>670</v>
      </c>
      <c r="AC28" s="3"/>
      <c r="AD28" s="3"/>
      <c r="AE28" s="3"/>
      <c r="AF28" s="4"/>
      <c r="AG28" s="3"/>
      <c r="AH28" s="3"/>
      <c r="AI28" s="3"/>
    </row>
    <row r="29" spans="1:44" ht="16.899999999999999" customHeight="1" x14ac:dyDescent="0.25">
      <c r="A29" s="87" t="s">
        <v>48</v>
      </c>
      <c r="B29" s="87"/>
      <c r="C29" s="56"/>
      <c r="D29" s="29">
        <f t="shared" ref="D29:W29" si="12">IF(D20&lt;=$M$13,-IPMT($M$12,D20,$M$13,$M$11),0)</f>
        <v>896.80797000000007</v>
      </c>
      <c r="E29" s="29">
        <f t="shared" si="12"/>
        <v>814.1538598805372</v>
      </c>
      <c r="F29" s="29">
        <f t="shared" si="12"/>
        <v>730.0119757789239</v>
      </c>
      <c r="G29" s="29">
        <f t="shared" si="12"/>
        <v>644.35553776348172</v>
      </c>
      <c r="H29" s="29">
        <f t="shared" si="12"/>
        <v>557.15728386376156</v>
      </c>
      <c r="I29" s="29">
        <f t="shared" si="12"/>
        <v>468.3894613938462</v>
      </c>
      <c r="J29" s="29">
        <f t="shared" si="12"/>
        <v>378.02381811947254</v>
      </c>
      <c r="K29" s="29">
        <f t="shared" si="12"/>
        <v>286.03159326616014</v>
      </c>
      <c r="L29" s="29">
        <f t="shared" si="12"/>
        <v>192.38350836548815</v>
      </c>
      <c r="M29" s="29">
        <f t="shared" si="12"/>
        <v>97.049757936604038</v>
      </c>
      <c r="N29" s="29">
        <f t="shared" si="12"/>
        <v>0</v>
      </c>
      <c r="O29" s="29">
        <f t="shared" si="12"/>
        <v>0</v>
      </c>
      <c r="P29" s="29">
        <f t="shared" si="12"/>
        <v>0</v>
      </c>
      <c r="Q29" s="29">
        <f t="shared" si="12"/>
        <v>0</v>
      </c>
      <c r="R29" s="29">
        <f t="shared" si="12"/>
        <v>0</v>
      </c>
      <c r="S29" s="29">
        <f t="shared" si="12"/>
        <v>0</v>
      </c>
      <c r="T29" s="29">
        <f t="shared" si="12"/>
        <v>0</v>
      </c>
      <c r="U29" s="29">
        <f t="shared" si="12"/>
        <v>0</v>
      </c>
      <c r="V29" s="29">
        <f t="shared" si="12"/>
        <v>0</v>
      </c>
      <c r="W29" s="29">
        <f t="shared" si="12"/>
        <v>0</v>
      </c>
      <c r="AB29" s="3">
        <f t="shared" si="3"/>
        <v>680</v>
      </c>
      <c r="AF29" s="4"/>
    </row>
    <row r="30" spans="1:44" ht="15" x14ac:dyDescent="0.25">
      <c r="A30" s="84" t="s">
        <v>49</v>
      </c>
      <c r="B30" s="84"/>
      <c r="C30" s="51"/>
      <c r="D30" s="29">
        <f t="shared" ref="D30:W30" si="13">IF(D20&lt;=$Q$10,$Q$9*$Q$8,0)</f>
        <v>130</v>
      </c>
      <c r="E30" s="29">
        <f t="shared" si="13"/>
        <v>130</v>
      </c>
      <c r="F30" s="29">
        <f t="shared" si="13"/>
        <v>130</v>
      </c>
      <c r="G30" s="29">
        <f t="shared" si="13"/>
        <v>0</v>
      </c>
      <c r="H30" s="29">
        <f t="shared" si="13"/>
        <v>0</v>
      </c>
      <c r="I30" s="29">
        <f t="shared" si="13"/>
        <v>0</v>
      </c>
      <c r="J30" s="29">
        <f t="shared" si="13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3"/>
        <v>0</v>
      </c>
      <c r="O30" s="29">
        <f t="shared" si="13"/>
        <v>0</v>
      </c>
      <c r="P30" s="29">
        <f t="shared" si="13"/>
        <v>0</v>
      </c>
      <c r="Q30" s="29">
        <f t="shared" si="13"/>
        <v>0</v>
      </c>
      <c r="R30" s="29">
        <f t="shared" si="13"/>
        <v>0</v>
      </c>
      <c r="S30" s="29">
        <f t="shared" si="13"/>
        <v>0</v>
      </c>
      <c r="T30" s="29">
        <f t="shared" si="13"/>
        <v>0</v>
      </c>
      <c r="U30" s="29">
        <f t="shared" si="13"/>
        <v>0</v>
      </c>
      <c r="V30" s="29">
        <f t="shared" si="13"/>
        <v>0</v>
      </c>
      <c r="W30" s="29">
        <f t="shared" si="13"/>
        <v>0</v>
      </c>
      <c r="AB30" s="3">
        <f t="shared" si="3"/>
        <v>690</v>
      </c>
      <c r="AF30" s="4"/>
    </row>
    <row r="31" spans="1:44" s="54" customFormat="1" ht="16.899999999999999" customHeight="1" x14ac:dyDescent="0.25">
      <c r="A31" s="85" t="s">
        <v>50</v>
      </c>
      <c r="B31" s="85"/>
      <c r="C31" s="52"/>
      <c r="D31" s="53">
        <f t="shared" ref="D31:W31" si="14">D28-D29-D30</f>
        <v>7928.4124600000014</v>
      </c>
      <c r="E31" s="53">
        <f t="shared" si="14"/>
        <v>7890.0509949457019</v>
      </c>
      <c r="F31" s="53">
        <f t="shared" si="14"/>
        <v>7852.2449474726582</v>
      </c>
      <c r="G31" s="53">
        <f t="shared" si="14"/>
        <v>7944.9964509495458</v>
      </c>
      <c r="H31" s="53">
        <f t="shared" si="14"/>
        <v>7908.3076520422992</v>
      </c>
      <c r="I31" s="53">
        <f t="shared" si="14"/>
        <v>7872.1807099183898</v>
      </c>
      <c r="J31" s="53">
        <f t="shared" si="14"/>
        <v>7836.6177954183331</v>
      </c>
      <c r="K31" s="53">
        <f t="shared" si="14"/>
        <v>7801.6210901932955</v>
      </c>
      <c r="L31" s="53">
        <f t="shared" si="14"/>
        <v>7767.1927858078388</v>
      </c>
      <c r="M31" s="53">
        <f t="shared" si="14"/>
        <v>7733.3350828068697</v>
      </c>
      <c r="N31" s="53">
        <f t="shared" si="14"/>
        <v>7700.0501897456097</v>
      </c>
      <c r="O31" s="53">
        <f t="shared" si="14"/>
        <v>7568.5436686021758</v>
      </c>
      <c r="P31" s="53">
        <f t="shared" si="14"/>
        <v>7435.8360547044203</v>
      </c>
      <c r="Q31" s="53">
        <f t="shared" si="14"/>
        <v>7301.8975643173826</v>
      </c>
      <c r="R31" s="53">
        <f t="shared" si="14"/>
        <v>7166.6978412632934</v>
      </c>
      <c r="S31" s="53">
        <f t="shared" si="14"/>
        <v>7030.2059453790671</v>
      </c>
      <c r="T31" s="53">
        <f t="shared" si="14"/>
        <v>6892.3903407432817</v>
      </c>
      <c r="U31" s="53">
        <f t="shared" si="14"/>
        <v>6753.2188836681062</v>
      </c>
      <c r="V31" s="53">
        <f t="shared" si="14"/>
        <v>6612.6588104514276</v>
      </c>
      <c r="W31" s="53">
        <f t="shared" si="14"/>
        <v>6470.6767248844053</v>
      </c>
      <c r="AA31" s="3"/>
      <c r="AB31" s="3">
        <f t="shared" si="3"/>
        <v>700</v>
      </c>
      <c r="AC31" s="3"/>
      <c r="AD31" s="3"/>
      <c r="AE31" s="3"/>
      <c r="AF31" s="4"/>
      <c r="AG31" s="3"/>
      <c r="AH31" s="3"/>
      <c r="AI31" s="3"/>
    </row>
    <row r="32" spans="1:44" ht="15" x14ac:dyDescent="0.25">
      <c r="A32" s="84" t="s">
        <v>51</v>
      </c>
      <c r="B32" s="84"/>
      <c r="C32" s="51"/>
      <c r="D32" s="29">
        <f>IF(D31&lt;0,D31,0)</f>
        <v>0</v>
      </c>
      <c r="E32" s="29">
        <f t="shared" ref="E32:W32" si="15">IF(D32+E31&lt;0,D32+E31,0)</f>
        <v>0</v>
      </c>
      <c r="F32" s="29">
        <f t="shared" si="15"/>
        <v>0</v>
      </c>
      <c r="G32" s="29">
        <f t="shared" si="15"/>
        <v>0</v>
      </c>
      <c r="H32" s="29">
        <f t="shared" si="15"/>
        <v>0</v>
      </c>
      <c r="I32" s="29">
        <f t="shared" si="15"/>
        <v>0</v>
      </c>
      <c r="J32" s="29">
        <f t="shared" si="15"/>
        <v>0</v>
      </c>
      <c r="K32" s="29">
        <f t="shared" si="15"/>
        <v>0</v>
      </c>
      <c r="L32" s="29">
        <f t="shared" si="15"/>
        <v>0</v>
      </c>
      <c r="M32" s="29">
        <f t="shared" si="15"/>
        <v>0</v>
      </c>
      <c r="N32" s="29">
        <f t="shared" si="15"/>
        <v>0</v>
      </c>
      <c r="O32" s="29">
        <f t="shared" si="15"/>
        <v>0</v>
      </c>
      <c r="P32" s="29">
        <f t="shared" si="15"/>
        <v>0</v>
      </c>
      <c r="Q32" s="29">
        <f t="shared" si="15"/>
        <v>0</v>
      </c>
      <c r="R32" s="29">
        <f t="shared" si="15"/>
        <v>0</v>
      </c>
      <c r="S32" s="29">
        <f t="shared" si="15"/>
        <v>0</v>
      </c>
      <c r="T32" s="29">
        <f t="shared" si="15"/>
        <v>0</v>
      </c>
      <c r="U32" s="29">
        <f t="shared" si="15"/>
        <v>0</v>
      </c>
      <c r="V32" s="29">
        <f t="shared" si="15"/>
        <v>0</v>
      </c>
      <c r="W32" s="29">
        <f t="shared" si="15"/>
        <v>0</v>
      </c>
      <c r="AB32" s="3">
        <f t="shared" si="3"/>
        <v>710</v>
      </c>
      <c r="AF32" s="4"/>
    </row>
    <row r="33" spans="1:35" ht="15" x14ac:dyDescent="0.25">
      <c r="A33" s="84" t="s">
        <v>52</v>
      </c>
      <c r="B33" s="84"/>
      <c r="C33" s="51"/>
      <c r="D33" s="29">
        <f>IF(D31&lt;0,0,IF(D31&lt;38120,IF(B4="SAS",0.15*D31,0.15*D31*(1-I11)),IF(B4="SAS",0.33*D31,0.33*D31*(1-I11))))</f>
        <v>499.48998498000009</v>
      </c>
      <c r="E33" s="29">
        <f>IF(E31+D32&lt;0,0,IF(E31&lt;38120,IF($B$4="SAS",0.15*(E31+D32),0.15*(E31+D32)*(1-$I$11)),IF($B$4="SAS",0.33*(E31+D32),0.33*(1-$I$11)*(E31+D32))))</f>
        <v>497.07321268157926</v>
      </c>
      <c r="F33" s="29">
        <f>IF(F31+E32&lt;0,0,IF(F31&lt;38120,IF($B$4="SAS",0.15*(F31+E32),0.15*(F31+E32)*(1-$I$11)),IF($B$4="SAS",0.33*(F31+E32),0.33*(1-$I$11)*(F31+E32))))</f>
        <v>494.69143169077745</v>
      </c>
      <c r="G33" s="29">
        <f t="shared" ref="G33:W33" si="16">IF(G31+F32&lt;0,0,IF(G31&lt;38120,IF($B$4="SAS",0.15*(G31+F32),0.15*(G31+F32)*(1-$I$12)),IF($B$4="SAS",0.33*(G31+F32),0.33*(1-$I$12)*(G31+F32))))</f>
        <v>506.49352374803362</v>
      </c>
      <c r="H33" s="29">
        <f t="shared" si="16"/>
        <v>504.1546128176966</v>
      </c>
      <c r="I33" s="29">
        <f t="shared" si="16"/>
        <v>501.85152025729735</v>
      </c>
      <c r="J33" s="29">
        <f t="shared" si="16"/>
        <v>499.58438445791882</v>
      </c>
      <c r="K33" s="29">
        <f t="shared" si="16"/>
        <v>497.35334449982264</v>
      </c>
      <c r="L33" s="29">
        <f t="shared" si="16"/>
        <v>495.15854009524975</v>
      </c>
      <c r="M33" s="29">
        <f t="shared" si="16"/>
        <v>493.00011152893796</v>
      </c>
      <c r="N33" s="29">
        <f t="shared" si="16"/>
        <v>490.87819959628268</v>
      </c>
      <c r="O33" s="29">
        <f t="shared" si="16"/>
        <v>482.49465887338874</v>
      </c>
      <c r="P33" s="29">
        <f t="shared" si="16"/>
        <v>474.03454848740682</v>
      </c>
      <c r="Q33" s="29">
        <f t="shared" si="16"/>
        <v>465.49596972523318</v>
      </c>
      <c r="R33" s="29">
        <f t="shared" si="16"/>
        <v>456.87698738053496</v>
      </c>
      <c r="S33" s="29">
        <f t="shared" si="16"/>
        <v>448.17562901791553</v>
      </c>
      <c r="T33" s="29">
        <f t="shared" si="16"/>
        <v>439.38988422238424</v>
      </c>
      <c r="U33" s="29">
        <f t="shared" si="16"/>
        <v>430.51770383384178</v>
      </c>
      <c r="V33" s="29">
        <f t="shared" si="16"/>
        <v>421.55699916627856</v>
      </c>
      <c r="W33" s="29">
        <f t="shared" si="16"/>
        <v>412.50564121138086</v>
      </c>
      <c r="AB33" s="3">
        <f t="shared" si="3"/>
        <v>720</v>
      </c>
      <c r="AF33" s="4"/>
    </row>
    <row r="34" spans="1:35" s="54" customFormat="1" ht="16.899999999999999" customHeight="1" x14ac:dyDescent="0.25">
      <c r="A34" s="85" t="s">
        <v>53</v>
      </c>
      <c r="B34" s="85"/>
      <c r="C34" s="52"/>
      <c r="D34" s="53">
        <f t="shared" ref="D34:W34" si="17">D31-D33</f>
        <v>7428.922475020001</v>
      </c>
      <c r="E34" s="53">
        <f t="shared" si="17"/>
        <v>7392.9777822641227</v>
      </c>
      <c r="F34" s="53">
        <f t="shared" si="17"/>
        <v>7357.5535157818804</v>
      </c>
      <c r="G34" s="53">
        <f t="shared" si="17"/>
        <v>7438.5029272015117</v>
      </c>
      <c r="H34" s="53">
        <f t="shared" si="17"/>
        <v>7404.1530392246023</v>
      </c>
      <c r="I34" s="53">
        <f t="shared" si="17"/>
        <v>7370.3291896610926</v>
      </c>
      <c r="J34" s="53">
        <f t="shared" si="17"/>
        <v>7337.0334109604146</v>
      </c>
      <c r="K34" s="53">
        <f t="shared" si="17"/>
        <v>7304.2677456934725</v>
      </c>
      <c r="L34" s="53">
        <f t="shared" si="17"/>
        <v>7272.0342457125889</v>
      </c>
      <c r="M34" s="53">
        <f t="shared" si="17"/>
        <v>7240.3349712779318</v>
      </c>
      <c r="N34" s="53">
        <f t="shared" si="17"/>
        <v>7209.171990149327</v>
      </c>
      <c r="O34" s="53">
        <f t="shared" si="17"/>
        <v>7086.0490097287875</v>
      </c>
      <c r="P34" s="53">
        <f t="shared" si="17"/>
        <v>6961.8015062170134</v>
      </c>
      <c r="Q34" s="53">
        <f t="shared" si="17"/>
        <v>6836.4015945921492</v>
      </c>
      <c r="R34" s="53">
        <f t="shared" si="17"/>
        <v>6709.8208538827585</v>
      </c>
      <c r="S34" s="53">
        <f t="shared" si="17"/>
        <v>6582.0303163611516</v>
      </c>
      <c r="T34" s="53">
        <f t="shared" si="17"/>
        <v>6453.0004565208974</v>
      </c>
      <c r="U34" s="53">
        <f t="shared" si="17"/>
        <v>6322.7011798342646</v>
      </c>
      <c r="V34" s="53">
        <f t="shared" si="17"/>
        <v>6191.1018112851489</v>
      </c>
      <c r="W34" s="53">
        <f t="shared" si="17"/>
        <v>6058.1710836730244</v>
      </c>
      <c r="AA34" s="3"/>
      <c r="AB34" s="3">
        <f t="shared" si="3"/>
        <v>730</v>
      </c>
      <c r="AC34" s="3"/>
      <c r="AD34" s="3"/>
      <c r="AE34" s="3"/>
      <c r="AF34" s="4"/>
      <c r="AG34" s="3"/>
      <c r="AH34" s="3"/>
      <c r="AI34" s="3"/>
    </row>
    <row r="35" spans="1:35" s="59" customFormat="1" ht="16.899999999999999" customHeight="1" x14ac:dyDescent="0.25">
      <c r="A35" s="57"/>
      <c r="B35" s="57"/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AA35" s="60"/>
      <c r="AB35" s="3">
        <f t="shared" si="3"/>
        <v>740</v>
      </c>
      <c r="AC35" s="60"/>
      <c r="AD35" s="60"/>
      <c r="AE35" s="60"/>
      <c r="AF35" s="60"/>
      <c r="AG35" s="60"/>
      <c r="AH35" s="60"/>
      <c r="AI35" s="60"/>
    </row>
    <row r="36" spans="1:35" ht="16.899999999999999" customHeight="1" x14ac:dyDescent="0.25">
      <c r="A36" s="84" t="s">
        <v>54</v>
      </c>
      <c r="B36" s="84"/>
      <c r="C36" s="51"/>
      <c r="D36" s="29">
        <f t="shared" ref="D36:W36" si="18">D34+D27+D26</f>
        <v>10679.747475020002</v>
      </c>
      <c r="E36" s="29">
        <f t="shared" si="18"/>
        <v>10643.802782264123</v>
      </c>
      <c r="F36" s="29">
        <f t="shared" si="18"/>
        <v>10608.37851578188</v>
      </c>
      <c r="G36" s="29">
        <f t="shared" si="18"/>
        <v>10689.327927201512</v>
      </c>
      <c r="H36" s="29">
        <f t="shared" si="18"/>
        <v>10654.978039224603</v>
      </c>
      <c r="I36" s="29">
        <f t="shared" si="18"/>
        <v>10621.154189661092</v>
      </c>
      <c r="J36" s="29">
        <f t="shared" si="18"/>
        <v>10587.858410960414</v>
      </c>
      <c r="K36" s="29">
        <f t="shared" si="18"/>
        <v>10555.092745693473</v>
      </c>
      <c r="L36" s="29">
        <f t="shared" si="18"/>
        <v>10522.859245712589</v>
      </c>
      <c r="M36" s="29">
        <f t="shared" si="18"/>
        <v>10491.159971277932</v>
      </c>
      <c r="N36" s="29">
        <f t="shared" si="18"/>
        <v>10459.996990149328</v>
      </c>
      <c r="O36" s="29">
        <f t="shared" si="18"/>
        <v>10336.874009728788</v>
      </c>
      <c r="P36" s="29">
        <f t="shared" si="18"/>
        <v>10212.626506217013</v>
      </c>
      <c r="Q36" s="29">
        <f t="shared" si="18"/>
        <v>10087.22659459215</v>
      </c>
      <c r="R36" s="29">
        <f t="shared" si="18"/>
        <v>9960.6458538827574</v>
      </c>
      <c r="S36" s="29">
        <f t="shared" si="18"/>
        <v>9832.8553163611505</v>
      </c>
      <c r="T36" s="29">
        <f t="shared" si="18"/>
        <v>9703.8254565208972</v>
      </c>
      <c r="U36" s="29">
        <f t="shared" si="18"/>
        <v>9573.5261798342653</v>
      </c>
      <c r="V36" s="29">
        <f t="shared" si="18"/>
        <v>9441.9268112851496</v>
      </c>
      <c r="W36" s="29">
        <f t="shared" si="18"/>
        <v>9308.9960836730243</v>
      </c>
      <c r="AB36" s="3">
        <f t="shared" si="3"/>
        <v>750</v>
      </c>
      <c r="AF36" s="4"/>
    </row>
    <row r="37" spans="1:35" ht="15" x14ac:dyDescent="0.25">
      <c r="A37" s="86" t="s">
        <v>55</v>
      </c>
      <c r="B37" s="86"/>
      <c r="C37" s="61">
        <f>-C11+M14</f>
        <v>-65016.5</v>
      </c>
      <c r="D37" s="29">
        <f t="shared" ref="D37:W37" si="19">D36+D30+D29</f>
        <v>11706.555445020002</v>
      </c>
      <c r="E37" s="29">
        <f t="shared" si="19"/>
        <v>11587.95664214466</v>
      </c>
      <c r="F37" s="29">
        <f t="shared" si="19"/>
        <v>11468.390491560804</v>
      </c>
      <c r="G37" s="29">
        <f t="shared" si="19"/>
        <v>11333.683464964994</v>
      </c>
      <c r="H37" s="29">
        <f t="shared" si="19"/>
        <v>11212.135323088365</v>
      </c>
      <c r="I37" s="29">
        <f t="shared" si="19"/>
        <v>11089.543651054939</v>
      </c>
      <c r="J37" s="29">
        <f t="shared" si="19"/>
        <v>10965.882229079887</v>
      </c>
      <c r="K37" s="29">
        <f t="shared" si="19"/>
        <v>10841.124338959633</v>
      </c>
      <c r="L37" s="29">
        <f t="shared" si="19"/>
        <v>10715.242754078077</v>
      </c>
      <c r="M37" s="29">
        <f t="shared" si="19"/>
        <v>10588.209729214535</v>
      </c>
      <c r="N37" s="29">
        <f t="shared" si="19"/>
        <v>10459.996990149328</v>
      </c>
      <c r="O37" s="29">
        <f t="shared" si="19"/>
        <v>10336.874009728788</v>
      </c>
      <c r="P37" s="29">
        <f t="shared" si="19"/>
        <v>10212.626506217013</v>
      </c>
      <c r="Q37" s="29">
        <f t="shared" si="19"/>
        <v>10087.22659459215</v>
      </c>
      <c r="R37" s="29">
        <f t="shared" si="19"/>
        <v>9960.6458538827574</v>
      </c>
      <c r="S37" s="29">
        <f t="shared" si="19"/>
        <v>9832.8553163611505</v>
      </c>
      <c r="T37" s="29">
        <f t="shared" si="19"/>
        <v>9703.8254565208972</v>
      </c>
      <c r="U37" s="29">
        <f t="shared" si="19"/>
        <v>9573.5261798342653</v>
      </c>
      <c r="V37" s="29">
        <f t="shared" si="19"/>
        <v>9441.9268112851496</v>
      </c>
      <c r="W37" s="29">
        <f t="shared" si="19"/>
        <v>9308.9960836730243</v>
      </c>
      <c r="AB37" s="3">
        <f t="shared" si="3"/>
        <v>760</v>
      </c>
      <c r="AF37" s="4"/>
    </row>
    <row r="38" spans="1:35" ht="15" x14ac:dyDescent="0.25">
      <c r="A38" s="88" t="s">
        <v>56</v>
      </c>
      <c r="B38" s="88"/>
      <c r="C38" s="62">
        <f>-M8-Q8</f>
        <v>-16500</v>
      </c>
      <c r="D38" s="29">
        <f t="shared" ref="D38:W38" si="20">D36</f>
        <v>10679.747475020002</v>
      </c>
      <c r="E38" s="29">
        <f t="shared" si="20"/>
        <v>10643.802782264123</v>
      </c>
      <c r="F38" s="29">
        <f t="shared" si="20"/>
        <v>10608.37851578188</v>
      </c>
      <c r="G38" s="29">
        <f t="shared" si="20"/>
        <v>10689.327927201512</v>
      </c>
      <c r="H38" s="29">
        <f t="shared" si="20"/>
        <v>10654.978039224603</v>
      </c>
      <c r="I38" s="29">
        <f t="shared" si="20"/>
        <v>10621.154189661092</v>
      </c>
      <c r="J38" s="29">
        <f t="shared" si="20"/>
        <v>10587.858410960414</v>
      </c>
      <c r="K38" s="29">
        <f t="shared" si="20"/>
        <v>10555.092745693473</v>
      </c>
      <c r="L38" s="29">
        <f t="shared" si="20"/>
        <v>10522.859245712589</v>
      </c>
      <c r="M38" s="29">
        <f t="shared" si="20"/>
        <v>10491.159971277932</v>
      </c>
      <c r="N38" s="29">
        <f t="shared" si="20"/>
        <v>10459.996990149328</v>
      </c>
      <c r="O38" s="29">
        <f t="shared" si="20"/>
        <v>10336.874009728788</v>
      </c>
      <c r="P38" s="29">
        <f t="shared" si="20"/>
        <v>10212.626506217013</v>
      </c>
      <c r="Q38" s="29">
        <f t="shared" si="20"/>
        <v>10087.22659459215</v>
      </c>
      <c r="R38" s="29">
        <f t="shared" si="20"/>
        <v>9960.6458538827574</v>
      </c>
      <c r="S38" s="29">
        <f t="shared" si="20"/>
        <v>9832.8553163611505</v>
      </c>
      <c r="T38" s="29">
        <f t="shared" si="20"/>
        <v>9703.8254565208972</v>
      </c>
      <c r="U38" s="29">
        <f t="shared" si="20"/>
        <v>9573.5261798342653</v>
      </c>
      <c r="V38" s="29">
        <f t="shared" si="20"/>
        <v>9441.9268112851496</v>
      </c>
      <c r="W38" s="29">
        <f t="shared" si="20"/>
        <v>9308.9960836730243</v>
      </c>
      <c r="AB38" s="3">
        <f t="shared" si="3"/>
        <v>770</v>
      </c>
      <c r="AF38" s="4"/>
    </row>
    <row r="39" spans="1:35" ht="16.899999999999999" customHeight="1" x14ac:dyDescent="0.25">
      <c r="A39" s="84" t="s">
        <v>57</v>
      </c>
      <c r="B39" s="84"/>
      <c r="C39" s="51"/>
      <c r="D39" s="29">
        <f t="shared" ref="D39:W39" si="21">D36*(1+taux_actu)^-(D20-1)</f>
        <v>10679.747475020002</v>
      </c>
      <c r="E39" s="29">
        <f t="shared" si="21"/>
        <v>10333.789108994295</v>
      </c>
      <c r="F39" s="29">
        <f t="shared" si="21"/>
        <v>9999.4141915184082</v>
      </c>
      <c r="G39" s="29">
        <f t="shared" si="21"/>
        <v>9782.2492966692607</v>
      </c>
      <c r="H39" s="29">
        <f t="shared" si="21"/>
        <v>9466.8099836771635</v>
      </c>
      <c r="I39" s="29">
        <f t="shared" si="21"/>
        <v>9161.9009043003261</v>
      </c>
      <c r="J39" s="29">
        <f t="shared" si="21"/>
        <v>8867.1647311749621</v>
      </c>
      <c r="K39" s="29">
        <f t="shared" si="21"/>
        <v>8582.2563129651753</v>
      </c>
      <c r="L39" s="29">
        <f t="shared" si="21"/>
        <v>8306.8422599512942</v>
      </c>
      <c r="M39" s="29">
        <f t="shared" si="21"/>
        <v>8040.6005436810919</v>
      </c>
      <c r="N39" s="29">
        <f t="shared" si="21"/>
        <v>7783.2201102081754</v>
      </c>
      <c r="O39" s="29">
        <f t="shared" si="21"/>
        <v>7467.5777181488384</v>
      </c>
      <c r="P39" s="29">
        <f t="shared" si="21"/>
        <v>7162.9307553860717</v>
      </c>
      <c r="Q39" s="29">
        <f t="shared" si="21"/>
        <v>6868.9104664023453</v>
      </c>
      <c r="R39" s="29">
        <f t="shared" si="21"/>
        <v>6585.1603314552958</v>
      </c>
      <c r="S39" s="29">
        <f t="shared" si="21"/>
        <v>6311.3356618297366</v>
      </c>
      <c r="T39" s="29">
        <f t="shared" si="21"/>
        <v>6047.1032084663566</v>
      </c>
      <c r="U39" s="29">
        <f t="shared" si="21"/>
        <v>5792.1407835251975</v>
      </c>
      <c r="V39" s="29">
        <f t="shared" si="21"/>
        <v>5546.1368944565002</v>
      </c>
      <c r="W39" s="29">
        <f t="shared" si="21"/>
        <v>5308.7903901656591</v>
      </c>
      <c r="AB39" s="3">
        <f t="shared" si="3"/>
        <v>780</v>
      </c>
      <c r="AF39" s="4"/>
    </row>
    <row r="40" spans="1:35" s="54" customFormat="1" ht="16.899999999999999" customHeight="1" x14ac:dyDescent="0.25">
      <c r="A40" s="85" t="s">
        <v>58</v>
      </c>
      <c r="B40" s="85"/>
      <c r="C40" s="63">
        <f>-C11+M14</f>
        <v>-65016.5</v>
      </c>
      <c r="D40" s="53">
        <f>D39+C40</f>
        <v>-54336.752524979995</v>
      </c>
      <c r="E40" s="53">
        <f t="shared" ref="E40:W40" si="22">D40+E39</f>
        <v>-44002.963415985701</v>
      </c>
      <c r="F40" s="53">
        <f t="shared" si="22"/>
        <v>-34003.549224467293</v>
      </c>
      <c r="G40" s="53">
        <f t="shared" si="22"/>
        <v>-24221.299927798034</v>
      </c>
      <c r="H40" s="53">
        <f t="shared" si="22"/>
        <v>-14754.489944120871</v>
      </c>
      <c r="I40" s="53">
        <f t="shared" si="22"/>
        <v>-5592.5890398205447</v>
      </c>
      <c r="J40" s="53">
        <f t="shared" si="22"/>
        <v>3274.5756913544174</v>
      </c>
      <c r="K40" s="53">
        <f t="shared" si="22"/>
        <v>11856.832004319593</v>
      </c>
      <c r="L40" s="53">
        <f t="shared" si="22"/>
        <v>20163.674264270885</v>
      </c>
      <c r="M40" s="53">
        <f t="shared" si="22"/>
        <v>28204.274807951977</v>
      </c>
      <c r="N40" s="53">
        <f t="shared" si="22"/>
        <v>35987.494918160155</v>
      </c>
      <c r="O40" s="53">
        <f t="shared" si="22"/>
        <v>43455.072636308993</v>
      </c>
      <c r="P40" s="53">
        <f t="shared" si="22"/>
        <v>50618.003391695063</v>
      </c>
      <c r="Q40" s="53">
        <f t="shared" si="22"/>
        <v>57486.91385809741</v>
      </c>
      <c r="R40" s="53">
        <f t="shared" si="22"/>
        <v>64072.074189552703</v>
      </c>
      <c r="S40" s="53">
        <f t="shared" si="22"/>
        <v>70383.409851382443</v>
      </c>
      <c r="T40" s="53">
        <f t="shared" si="22"/>
        <v>76430.513059848803</v>
      </c>
      <c r="U40" s="53">
        <f t="shared" si="22"/>
        <v>82222.653843374006</v>
      </c>
      <c r="V40" s="53">
        <f t="shared" si="22"/>
        <v>87768.79073783051</v>
      </c>
      <c r="W40" s="53">
        <f t="shared" si="22"/>
        <v>93077.581127996164</v>
      </c>
      <c r="AA40" s="3"/>
      <c r="AB40" s="3">
        <f t="shared" si="3"/>
        <v>790</v>
      </c>
      <c r="AC40" s="3"/>
      <c r="AD40" s="3"/>
      <c r="AE40" s="3"/>
      <c r="AF40" s="4"/>
      <c r="AG40" s="3"/>
      <c r="AH40" s="3"/>
      <c r="AI40" s="3"/>
    </row>
    <row r="41" spans="1:35" ht="16.899999999999999" customHeight="1" x14ac:dyDescent="0.25">
      <c r="AB41" s="3">
        <f t="shared" si="3"/>
        <v>800</v>
      </c>
    </row>
    <row r="42" spans="1:35" ht="15" x14ac:dyDescent="0.25">
      <c r="A42" s="84" t="s">
        <v>59</v>
      </c>
      <c r="B42" s="84"/>
      <c r="C42" s="51"/>
      <c r="D42" s="29">
        <f t="shared" ref="D42:W42" si="23">IF(D20&lt;4,IF(D31&lt;0,0,$I$11*D31),$I$12*D31)</f>
        <v>4598.4792268000001</v>
      </c>
      <c r="E42" s="29">
        <f t="shared" si="23"/>
        <v>4576.2295770685068</v>
      </c>
      <c r="F42" s="29">
        <f t="shared" si="23"/>
        <v>4554.3020695341411</v>
      </c>
      <c r="G42" s="29">
        <f t="shared" si="23"/>
        <v>4568.372959295988</v>
      </c>
      <c r="H42" s="29">
        <f t="shared" si="23"/>
        <v>4547.2768999243217</v>
      </c>
      <c r="I42" s="29">
        <f t="shared" si="23"/>
        <v>4526.5039082030735</v>
      </c>
      <c r="J42" s="29">
        <f t="shared" si="23"/>
        <v>4506.0552323655411</v>
      </c>
      <c r="K42" s="29">
        <f t="shared" si="23"/>
        <v>4485.9321268611448</v>
      </c>
      <c r="L42" s="29">
        <f t="shared" si="23"/>
        <v>4466.1358518395073</v>
      </c>
      <c r="M42" s="29">
        <f t="shared" si="23"/>
        <v>4446.6676726139494</v>
      </c>
      <c r="N42" s="29">
        <f t="shared" si="23"/>
        <v>4427.5288591037252</v>
      </c>
      <c r="O42" s="29">
        <f t="shared" si="23"/>
        <v>4351.9126094462508</v>
      </c>
      <c r="P42" s="29">
        <f t="shared" si="23"/>
        <v>4275.6057314550417</v>
      </c>
      <c r="Q42" s="29">
        <f t="shared" si="23"/>
        <v>4198.5910994824944</v>
      </c>
      <c r="R42" s="29">
        <f t="shared" si="23"/>
        <v>4120.8512587263931</v>
      </c>
      <c r="S42" s="29">
        <f t="shared" si="23"/>
        <v>4042.3684185929633</v>
      </c>
      <c r="T42" s="29">
        <f t="shared" si="23"/>
        <v>3963.1244459273867</v>
      </c>
      <c r="U42" s="29">
        <f t="shared" si="23"/>
        <v>3883.1008581091605</v>
      </c>
      <c r="V42" s="29">
        <f t="shared" si="23"/>
        <v>3802.2788160095706</v>
      </c>
      <c r="W42" s="29">
        <f t="shared" si="23"/>
        <v>3720.6391168085329</v>
      </c>
      <c r="AB42" s="3">
        <f t="shared" si="3"/>
        <v>810</v>
      </c>
      <c r="AF42" s="4"/>
    </row>
    <row r="43" spans="1:35" ht="15" x14ac:dyDescent="0.25">
      <c r="A43" s="84" t="s">
        <v>60</v>
      </c>
      <c r="B43" s="84"/>
      <c r="C43" s="51"/>
      <c r="D43" s="29">
        <f t="shared" ref="D43:W43" si="24">IF(D20&lt;4,0,D34-D42)</f>
        <v>0</v>
      </c>
      <c r="E43" s="29">
        <f t="shared" si="24"/>
        <v>0</v>
      </c>
      <c r="F43" s="29">
        <f t="shared" si="24"/>
        <v>0</v>
      </c>
      <c r="G43" s="29">
        <f t="shared" si="24"/>
        <v>2870.1299679055237</v>
      </c>
      <c r="H43" s="29">
        <f t="shared" si="24"/>
        <v>2856.8761393002806</v>
      </c>
      <c r="I43" s="29">
        <f t="shared" si="24"/>
        <v>2843.8252814580192</v>
      </c>
      <c r="J43" s="29">
        <f t="shared" si="24"/>
        <v>2830.9781785948735</v>
      </c>
      <c r="K43" s="29">
        <f t="shared" si="24"/>
        <v>2818.3356188323278</v>
      </c>
      <c r="L43" s="29">
        <f t="shared" si="24"/>
        <v>2805.8983938730817</v>
      </c>
      <c r="M43" s="29">
        <f t="shared" si="24"/>
        <v>2793.6672986639824</v>
      </c>
      <c r="N43" s="29">
        <f t="shared" si="24"/>
        <v>2781.6431310456019</v>
      </c>
      <c r="O43" s="29">
        <f t="shared" si="24"/>
        <v>2734.1364002825367</v>
      </c>
      <c r="P43" s="29">
        <f t="shared" si="24"/>
        <v>2686.1957747619717</v>
      </c>
      <c r="Q43" s="29">
        <f t="shared" si="24"/>
        <v>2637.8104951096548</v>
      </c>
      <c r="R43" s="29">
        <f t="shared" si="24"/>
        <v>2588.9695951563654</v>
      </c>
      <c r="S43" s="29">
        <f t="shared" si="24"/>
        <v>2539.6618977681883</v>
      </c>
      <c r="T43" s="29">
        <f t="shared" si="24"/>
        <v>2489.8760105935107</v>
      </c>
      <c r="U43" s="29">
        <f t="shared" si="24"/>
        <v>2439.6003217251041</v>
      </c>
      <c r="V43" s="29">
        <f t="shared" si="24"/>
        <v>2388.8229952755783</v>
      </c>
      <c r="W43" s="29">
        <f t="shared" si="24"/>
        <v>2337.5319668644916</v>
      </c>
      <c r="AB43" s="3">
        <f t="shared" si="3"/>
        <v>820</v>
      </c>
      <c r="AF43" s="4"/>
    </row>
    <row r="44" spans="1:35" ht="15" x14ac:dyDescent="0.25">
      <c r="A44" s="84" t="s">
        <v>61</v>
      </c>
      <c r="B44" s="84"/>
      <c r="C44" s="51"/>
      <c r="D44" s="29">
        <f t="shared" ref="D44:W44" si="25">D43*(100%-$I$14)</f>
        <v>0</v>
      </c>
      <c r="E44" s="29">
        <f t="shared" si="25"/>
        <v>0</v>
      </c>
      <c r="F44" s="29">
        <f t="shared" si="25"/>
        <v>0</v>
      </c>
      <c r="G44" s="29">
        <f t="shared" si="25"/>
        <v>2376.4676134257738</v>
      </c>
      <c r="H44" s="29">
        <f t="shared" si="25"/>
        <v>2365.4934433406324</v>
      </c>
      <c r="I44" s="29">
        <f t="shared" si="25"/>
        <v>2354.6873330472399</v>
      </c>
      <c r="J44" s="29">
        <f t="shared" si="25"/>
        <v>2344.0499318765555</v>
      </c>
      <c r="K44" s="29">
        <f t="shared" si="25"/>
        <v>2333.5818923931674</v>
      </c>
      <c r="L44" s="29">
        <f t="shared" si="25"/>
        <v>2323.283870126912</v>
      </c>
      <c r="M44" s="29">
        <f t="shared" si="25"/>
        <v>2313.1565232937778</v>
      </c>
      <c r="N44" s="29">
        <f t="shared" si="25"/>
        <v>2303.2005125057585</v>
      </c>
      <c r="O44" s="29">
        <f t="shared" si="25"/>
        <v>2263.8649394339404</v>
      </c>
      <c r="P44" s="29">
        <f t="shared" si="25"/>
        <v>2224.170101502913</v>
      </c>
      <c r="Q44" s="29">
        <f t="shared" si="25"/>
        <v>2184.1070899507945</v>
      </c>
      <c r="R44" s="29">
        <f t="shared" si="25"/>
        <v>2143.6668247894709</v>
      </c>
      <c r="S44" s="29">
        <f t="shared" si="25"/>
        <v>2102.8400513520601</v>
      </c>
      <c r="T44" s="29">
        <f t="shared" si="25"/>
        <v>2061.6173367714268</v>
      </c>
      <c r="U44" s="29">
        <f t="shared" si="25"/>
        <v>2019.9890663883864</v>
      </c>
      <c r="V44" s="29">
        <f t="shared" si="25"/>
        <v>1977.9454400881789</v>
      </c>
      <c r="W44" s="29">
        <f t="shared" si="25"/>
        <v>1935.4764685637992</v>
      </c>
      <c r="AB44" s="3">
        <f t="shared" si="3"/>
        <v>830</v>
      </c>
      <c r="AF44" s="4"/>
    </row>
    <row r="45" spans="1:35" s="54" customFormat="1" ht="16.899999999999999" customHeight="1" x14ac:dyDescent="0.25">
      <c r="A45" s="85" t="s">
        <v>62</v>
      </c>
      <c r="B45" s="85"/>
      <c r="C45" s="52"/>
      <c r="D45" s="53">
        <f t="shared" ref="D45:W45" si="26">(D44/$M$9)/$M$10</f>
        <v>0</v>
      </c>
      <c r="E45" s="53">
        <f t="shared" si="26"/>
        <v>0</v>
      </c>
      <c r="F45" s="53">
        <f t="shared" si="26"/>
        <v>0</v>
      </c>
      <c r="G45" s="53">
        <f t="shared" si="26"/>
        <v>0.23764676134257737</v>
      </c>
      <c r="H45" s="53">
        <f t="shared" si="26"/>
        <v>0.23654934433406324</v>
      </c>
      <c r="I45" s="53">
        <f t="shared" si="26"/>
        <v>0.23546873330472398</v>
      </c>
      <c r="J45" s="53">
        <f t="shared" si="26"/>
        <v>0.23440499318765556</v>
      </c>
      <c r="K45" s="53">
        <f t="shared" si="26"/>
        <v>0.23335818923931675</v>
      </c>
      <c r="L45" s="53">
        <f t="shared" si="26"/>
        <v>0.23232838701269121</v>
      </c>
      <c r="M45" s="53">
        <f t="shared" si="26"/>
        <v>0.23131565232937779</v>
      </c>
      <c r="N45" s="53">
        <f t="shared" si="26"/>
        <v>0.23032005125057584</v>
      </c>
      <c r="O45" s="53">
        <f t="shared" si="26"/>
        <v>0.22638649394339402</v>
      </c>
      <c r="P45" s="53">
        <f t="shared" si="26"/>
        <v>0.22241701015029128</v>
      </c>
      <c r="Q45" s="53">
        <f t="shared" si="26"/>
        <v>0.21841070899507944</v>
      </c>
      <c r="R45" s="53">
        <f t="shared" si="26"/>
        <v>0.21436668247894708</v>
      </c>
      <c r="S45" s="53">
        <f t="shared" si="26"/>
        <v>0.21028400513520601</v>
      </c>
      <c r="T45" s="53">
        <f t="shared" si="26"/>
        <v>0.20616173367714269</v>
      </c>
      <c r="U45" s="53">
        <f t="shared" si="26"/>
        <v>0.20199890663883863</v>
      </c>
      <c r="V45" s="53">
        <f t="shared" si="26"/>
        <v>0.19779454400881791</v>
      </c>
      <c r="W45" s="53">
        <f t="shared" si="26"/>
        <v>0.19354764685637993</v>
      </c>
      <c r="AA45" s="3"/>
      <c r="AB45" s="3">
        <f t="shared" si="3"/>
        <v>840</v>
      </c>
      <c r="AC45" s="3"/>
      <c r="AD45" s="3"/>
      <c r="AE45" s="3"/>
      <c r="AF45" s="4"/>
      <c r="AG45" s="3"/>
      <c r="AH45" s="3"/>
      <c r="AI45" s="3"/>
    </row>
    <row r="46" spans="1:35" ht="16.899999999999999" customHeight="1" x14ac:dyDescent="0.25">
      <c r="AB46" s="3">
        <f t="shared" si="3"/>
        <v>850</v>
      </c>
    </row>
    <row r="47" spans="1:35" ht="16.899999999999999" customHeight="1" x14ac:dyDescent="0.25">
      <c r="A47" s="89" t="s">
        <v>63</v>
      </c>
      <c r="B47" s="89"/>
      <c r="C47" s="64"/>
      <c r="D47" s="65">
        <f t="shared" ref="D47:W47" si="27">IF(D20&lt;=$M$13,D25/-PMT($M$12,$M$13,$M$11),"")</f>
        <v>2.2238487821177717</v>
      </c>
      <c r="E47" s="65">
        <f t="shared" si="27"/>
        <v>2.2018006633383673</v>
      </c>
      <c r="F47" s="65">
        <f t="shared" si="27"/>
        <v>2.1795826763032258</v>
      </c>
      <c r="G47" s="65">
        <f t="shared" si="27"/>
        <v>2.1571903305957409</v>
      </c>
      <c r="H47" s="65">
        <f t="shared" si="27"/>
        <v>2.1346190503981597</v>
      </c>
      <c r="I47" s="65">
        <f t="shared" si="27"/>
        <v>2.111864172765785</v>
      </c>
      <c r="J47" s="65">
        <f t="shared" si="27"/>
        <v>2.0889209458667422</v>
      </c>
      <c r="K47" s="65">
        <f t="shared" si="27"/>
        <v>2.0657845271866111</v>
      </c>
      <c r="L47" s="65">
        <f t="shared" si="27"/>
        <v>2.0424499816972128</v>
      </c>
      <c r="M47" s="65">
        <f t="shared" si="27"/>
        <v>2.0189122799888546</v>
      </c>
      <c r="N47" s="65" t="str">
        <f t="shared" si="27"/>
        <v/>
      </c>
      <c r="O47" s="65" t="str">
        <f t="shared" si="27"/>
        <v/>
      </c>
      <c r="P47" s="65" t="str">
        <f t="shared" si="27"/>
        <v/>
      </c>
      <c r="Q47" s="65" t="str">
        <f t="shared" si="27"/>
        <v/>
      </c>
      <c r="R47" s="65" t="str">
        <f t="shared" si="27"/>
        <v/>
      </c>
      <c r="S47" s="65" t="str">
        <f t="shared" si="27"/>
        <v/>
      </c>
      <c r="T47" s="65" t="str">
        <f t="shared" si="27"/>
        <v/>
      </c>
      <c r="U47" s="65" t="str">
        <f t="shared" si="27"/>
        <v/>
      </c>
      <c r="V47" s="65" t="str">
        <f t="shared" si="27"/>
        <v/>
      </c>
      <c r="W47" s="65" t="str">
        <f t="shared" si="27"/>
        <v/>
      </c>
      <c r="X47" s="66"/>
      <c r="AB47" s="3">
        <f t="shared" si="3"/>
        <v>860</v>
      </c>
    </row>
    <row r="48" spans="1:35" ht="16.899999999999999" customHeight="1" x14ac:dyDescent="0.25">
      <c r="AB48" s="3">
        <f t="shared" si="3"/>
        <v>870</v>
      </c>
    </row>
    <row r="49" spans="1:35" ht="16.899999999999999" customHeight="1" x14ac:dyDescent="0.25">
      <c r="A49" s="78" t="s">
        <v>64</v>
      </c>
      <c r="B49" s="78"/>
      <c r="C49" s="78"/>
      <c r="D49" s="78"/>
      <c r="E49" s="78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AB49" s="3">
        <f t="shared" si="3"/>
        <v>880</v>
      </c>
    </row>
    <row r="50" spans="1:35" ht="16.899999999999999" customHeight="1" x14ac:dyDescent="0.25">
      <c r="AB50" s="3">
        <f t="shared" si="3"/>
        <v>890</v>
      </c>
    </row>
    <row r="51" spans="1:35" ht="16.899999999999999" customHeight="1" x14ac:dyDescent="0.25">
      <c r="A51" s="90" t="s">
        <v>65</v>
      </c>
      <c r="B51" s="90"/>
      <c r="C51" s="29">
        <f>W40</f>
        <v>93077.581127996164</v>
      </c>
      <c r="D51" s="67" t="str">
        <f>IF(C51&gt;0,"OK","PB")</f>
        <v>OK</v>
      </c>
      <c r="F51" s="68"/>
      <c r="AB51" s="3">
        <f t="shared" si="3"/>
        <v>900</v>
      </c>
    </row>
    <row r="52" spans="1:35" ht="16.899999999999999" customHeight="1" x14ac:dyDescent="0.25">
      <c r="A52" s="90" t="s">
        <v>66</v>
      </c>
      <c r="B52" s="90"/>
      <c r="C52" s="29">
        <f>SUM(D42:W42)</f>
        <v>86061.95673816769</v>
      </c>
      <c r="AB52" s="3">
        <f t="shared" si="3"/>
        <v>910</v>
      </c>
    </row>
    <row r="53" spans="1:35" ht="15" x14ac:dyDescent="0.25">
      <c r="A53" s="90" t="s">
        <v>67</v>
      </c>
      <c r="B53" s="90"/>
      <c r="C53" s="69">
        <f>IRR(C37:W37)</f>
        <v>0.16178223152664906</v>
      </c>
      <c r="D53" s="70" t="str">
        <f>IF(C53&gt;M12,"OK","PB")</f>
        <v>OK</v>
      </c>
      <c r="AB53" s="3">
        <f t="shared" si="3"/>
        <v>920</v>
      </c>
    </row>
    <row r="54" spans="1:35" ht="29.45" customHeight="1" x14ac:dyDescent="0.25">
      <c r="A54" s="90" t="s">
        <v>68</v>
      </c>
      <c r="B54" s="90"/>
      <c r="C54" s="71">
        <f>AVERAGE(D34:W34)/M8</f>
        <v>0.6997817955252108</v>
      </c>
      <c r="AB54" s="3">
        <f t="shared" si="3"/>
        <v>930</v>
      </c>
    </row>
    <row r="55" spans="1:35" ht="26.45" customHeight="1" x14ac:dyDescent="0.25">
      <c r="A55" s="90" t="s">
        <v>69</v>
      </c>
      <c r="B55" s="90"/>
      <c r="C55" s="71">
        <f>AVERAGE(D45:W45)</f>
        <v>0.18813799219425401</v>
      </c>
      <c r="AB55" s="3">
        <f t="shared" si="3"/>
        <v>940</v>
      </c>
    </row>
    <row r="56" spans="1:35" ht="16.899999999999999" customHeight="1" x14ac:dyDescent="0.25">
      <c r="AB56" s="3">
        <f t="shared" si="3"/>
        <v>950</v>
      </c>
    </row>
    <row r="57" spans="1:35" ht="16.899999999999999" customHeight="1" x14ac:dyDescent="0.25">
      <c r="A57" s="72" t="s">
        <v>70</v>
      </c>
      <c r="B57" s="73">
        <f>C11/(C9*1000)</f>
        <v>1.271454297673513</v>
      </c>
      <c r="AB57" s="3">
        <f t="shared" si="3"/>
        <v>960</v>
      </c>
    </row>
    <row r="58" spans="1:35" ht="16.899999999999999" customHeight="1" x14ac:dyDescent="0.25">
      <c r="D58" s="74"/>
      <c r="AB58" s="3">
        <f t="shared" si="3"/>
        <v>970</v>
      </c>
    </row>
    <row r="59" spans="1:35" s="75" customFormat="1" ht="16.899999999999999" customHeight="1" x14ac:dyDescent="0.25">
      <c r="AA59" s="76"/>
      <c r="AB59" s="3">
        <f t="shared" si="3"/>
        <v>980</v>
      </c>
      <c r="AC59" s="76"/>
      <c r="AD59" s="76"/>
      <c r="AE59" s="76"/>
      <c r="AF59" s="76"/>
      <c r="AG59" s="76"/>
      <c r="AH59" s="76"/>
      <c r="AI59" s="76"/>
    </row>
    <row r="60" spans="1:35" ht="16.899999999999999" customHeight="1" x14ac:dyDescent="0.25">
      <c r="AB60" s="3">
        <f t="shared" si="3"/>
        <v>990</v>
      </c>
    </row>
    <row r="61" spans="1:35" ht="16.899999999999999" customHeight="1" x14ac:dyDescent="0.25">
      <c r="AB61" s="3">
        <f t="shared" si="3"/>
        <v>1000</v>
      </c>
    </row>
    <row r="62" spans="1:35" ht="16.899999999999999" customHeight="1" x14ac:dyDescent="0.25">
      <c r="AB62" s="2"/>
    </row>
  </sheetData>
  <mergeCells count="75">
    <mergeCell ref="A51:B51"/>
    <mergeCell ref="A52:B52"/>
    <mergeCell ref="A53:B53"/>
    <mergeCell ref="A54:B54"/>
    <mergeCell ref="A55:B55"/>
    <mergeCell ref="L49:M49"/>
    <mergeCell ref="N49:O49"/>
    <mergeCell ref="P49:Q49"/>
    <mergeCell ref="R49:S49"/>
    <mergeCell ref="T49:U49"/>
    <mergeCell ref="V49:W49"/>
    <mergeCell ref="A44:B44"/>
    <mergeCell ref="A45:B45"/>
    <mergeCell ref="A47:B47"/>
    <mergeCell ref="A49:E49"/>
    <mergeCell ref="F49:H49"/>
    <mergeCell ref="I49:K49"/>
    <mergeCell ref="A37:B37"/>
    <mergeCell ref="A38:B38"/>
    <mergeCell ref="A39:B39"/>
    <mergeCell ref="A40:B40"/>
    <mergeCell ref="A42:B42"/>
    <mergeCell ref="A43:B43"/>
    <mergeCell ref="A30:B30"/>
    <mergeCell ref="A31:B31"/>
    <mergeCell ref="A32:B32"/>
    <mergeCell ref="A33:B33"/>
    <mergeCell ref="A34:B34"/>
    <mergeCell ref="A36:B36"/>
    <mergeCell ref="A24:B24"/>
    <mergeCell ref="A25:B25"/>
    <mergeCell ref="A26:B26"/>
    <mergeCell ref="A27:B27"/>
    <mergeCell ref="A28:B28"/>
    <mergeCell ref="A29:B29"/>
    <mergeCell ref="R18:S18"/>
    <mergeCell ref="T18:U18"/>
    <mergeCell ref="V18:W18"/>
    <mergeCell ref="A21:B21"/>
    <mergeCell ref="A22:B22"/>
    <mergeCell ref="A23:B23"/>
    <mergeCell ref="A18:E18"/>
    <mergeCell ref="F18:H18"/>
    <mergeCell ref="I18:K18"/>
    <mergeCell ref="L18:M18"/>
    <mergeCell ref="N18:O18"/>
    <mergeCell ref="P18:Q18"/>
    <mergeCell ref="A14:B14"/>
    <mergeCell ref="F14:H14"/>
    <mergeCell ref="K14:L14"/>
    <mergeCell ref="A15:B15"/>
    <mergeCell ref="F15:H15"/>
    <mergeCell ref="A16:B16"/>
    <mergeCell ref="S10:U10"/>
    <mergeCell ref="F11:H11"/>
    <mergeCell ref="K11:L11"/>
    <mergeCell ref="F12:H12"/>
    <mergeCell ref="K12:L12"/>
    <mergeCell ref="F13:H13"/>
    <mergeCell ref="K13:L13"/>
    <mergeCell ref="A9:B9"/>
    <mergeCell ref="F9:H9"/>
    <mergeCell ref="K9:L9"/>
    <mergeCell ref="O9:P9"/>
    <mergeCell ref="A10:B10"/>
    <mergeCell ref="F10:H10"/>
    <mergeCell ref="K10:L10"/>
    <mergeCell ref="O10:P10"/>
    <mergeCell ref="A1:W1"/>
    <mergeCell ref="K6:N6"/>
    <mergeCell ref="A8:B8"/>
    <mergeCell ref="F8:H8"/>
    <mergeCell ref="K8:L8"/>
    <mergeCell ref="O8:P8"/>
    <mergeCell ref="S8:U8"/>
  </mergeCells>
  <conditionalFormatting sqref="C51:C52">
    <cfRule type="cellIs" dxfId="6" priority="4" stopIfTrue="1" operator="lessThan">
      <formula>0</formula>
    </cfRule>
  </conditionalFormatting>
  <conditionalFormatting sqref="D53">
    <cfRule type="cellIs" dxfId="5" priority="6" stopIfTrue="1" operator="equal">
      <formula>"OK"</formula>
    </cfRule>
  </conditionalFormatting>
  <conditionalFormatting sqref="D53">
    <cfRule type="cellIs" dxfId="4" priority="5" stopIfTrue="1" operator="equal">
      <formula>"PB"</formula>
    </cfRule>
  </conditionalFormatting>
  <pageMargins left="0.19645669291338583" right="0.31535433070866137" top="0.70905511811023614" bottom="0.78740157480314954" header="0.31535433070866137" footer="0.39370078740157477"/>
  <pageSetup paperSize="0" fitToWidth="0" fitToHeight="0" orientation="landscape" horizontalDpi="0" verticalDpi="0" copies="0"/>
  <headerFooter alignWithMargins="0"/>
  <colBreaks count="1" manualBreakCount="1">
    <brk id="23" man="1"/>
  </colBreak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sqref="A1:H1"/>
    </sheetView>
  </sheetViews>
  <sheetFormatPr baseColWidth="10" defaultRowHeight="14.45" x14ac:dyDescent="0.25"/>
  <cols>
    <col min="1" max="1" width="9.42578125" style="118" customWidth="1"/>
    <col min="2" max="2" width="23.28515625" customWidth="1"/>
    <col min="3" max="3" width="10.42578125" style="92" customWidth="1"/>
    <col min="4" max="5" width="13.42578125" style="92" customWidth="1"/>
    <col min="6" max="6" width="11.28515625" style="92" customWidth="1"/>
    <col min="7" max="7" width="16.28515625" style="92" customWidth="1"/>
    <col min="8" max="8" width="17.5703125" style="92" customWidth="1"/>
    <col min="9" max="9" width="4.140625" customWidth="1"/>
    <col min="10" max="11" width="88.7109375" style="92" customWidth="1"/>
    <col min="12" max="12" width="12.28515625" customWidth="1"/>
    <col min="13" max="13" width="14.140625" customWidth="1"/>
    <col min="14" max="21" width="12.28515625" customWidth="1"/>
    <col min="22" max="22" width="15.5703125" customWidth="1"/>
    <col min="23" max="1024" width="12.28515625" customWidth="1"/>
  </cols>
  <sheetData>
    <row r="1" spans="1:14" ht="26.25" x14ac:dyDescent="0.4">
      <c r="A1" s="124" t="s">
        <v>71</v>
      </c>
      <c r="B1" s="124"/>
      <c r="C1" s="124"/>
      <c r="D1" s="124"/>
      <c r="E1" s="124"/>
      <c r="F1" s="124"/>
      <c r="G1" s="124"/>
      <c r="H1" s="124"/>
      <c r="I1" s="91"/>
    </row>
    <row r="2" spans="1:14" ht="15" x14ac:dyDescent="0.25">
      <c r="A2" s="93" t="s">
        <v>72</v>
      </c>
    </row>
    <row r="3" spans="1:14" s="97" customFormat="1" ht="33.75" x14ac:dyDescent="0.25">
      <c r="A3" s="94"/>
      <c r="B3" s="95" t="s">
        <v>73</v>
      </c>
      <c r="C3" s="96" t="s">
        <v>74</v>
      </c>
      <c r="D3" s="96" t="s">
        <v>75</v>
      </c>
      <c r="E3" s="96" t="s">
        <v>76</v>
      </c>
      <c r="F3" s="96" t="s">
        <v>77</v>
      </c>
      <c r="G3" s="96" t="s">
        <v>78</v>
      </c>
      <c r="H3" s="96" t="s">
        <v>79</v>
      </c>
      <c r="J3" s="98" t="s">
        <v>80</v>
      </c>
      <c r="K3" s="99"/>
      <c r="L3" s="100"/>
      <c r="M3" t="s">
        <v>81</v>
      </c>
      <c r="N3" s="101" t="s">
        <v>82</v>
      </c>
    </row>
    <row r="4" spans="1:14" ht="15.75" x14ac:dyDescent="0.25">
      <c r="A4" t="s">
        <v>81</v>
      </c>
      <c r="B4" s="102" t="s">
        <v>83</v>
      </c>
      <c r="C4" s="103">
        <v>190</v>
      </c>
      <c r="D4" s="103">
        <v>35.840000000000003</v>
      </c>
      <c r="E4" s="103">
        <v>44550</v>
      </c>
      <c r="F4" s="96">
        <f t="shared" ref="F4:F38" si="0">E4/D4</f>
        <v>1243.0245535714284</v>
      </c>
      <c r="G4" s="104">
        <v>12.07</v>
      </c>
      <c r="H4" s="105">
        <f t="shared" ref="H4:H38" si="1">G4*E4/100</f>
        <v>5377.1850000000004</v>
      </c>
      <c r="J4" s="106" t="s">
        <v>84</v>
      </c>
      <c r="K4" s="107"/>
      <c r="M4" t="s">
        <v>85</v>
      </c>
      <c r="N4" s="108">
        <f t="shared" ref="N4:N38" si="2">IF(A4="oui",1,0)</f>
        <v>1</v>
      </c>
    </row>
    <row r="5" spans="1:14" ht="15.75" x14ac:dyDescent="0.25">
      <c r="A5" t="s">
        <v>81</v>
      </c>
      <c r="B5" s="102" t="s">
        <v>86</v>
      </c>
      <c r="C5" s="103">
        <v>154</v>
      </c>
      <c r="D5" s="103">
        <v>31.05</v>
      </c>
      <c r="E5" s="103">
        <v>39460</v>
      </c>
      <c r="F5" s="96">
        <f t="shared" si="0"/>
        <v>1270.8534621578099</v>
      </c>
      <c r="G5" s="104">
        <v>12.07</v>
      </c>
      <c r="H5" s="105">
        <f t="shared" si="1"/>
        <v>4762.8220000000001</v>
      </c>
      <c r="J5" s="109"/>
      <c r="K5" s="110"/>
      <c r="N5" s="108">
        <f t="shared" si="2"/>
        <v>1</v>
      </c>
    </row>
    <row r="6" spans="1:14" ht="15.75" x14ac:dyDescent="0.25">
      <c r="A6" t="s">
        <v>81</v>
      </c>
      <c r="B6" s="102" t="s">
        <v>87</v>
      </c>
      <c r="C6" s="103">
        <v>190</v>
      </c>
      <c r="D6" s="103">
        <v>35.840000000000003</v>
      </c>
      <c r="E6" s="103">
        <v>44500</v>
      </c>
      <c r="F6" s="96">
        <f t="shared" si="0"/>
        <v>1241.6294642857142</v>
      </c>
      <c r="G6" s="104">
        <v>12.07</v>
      </c>
      <c r="H6" s="105">
        <f t="shared" si="1"/>
        <v>5371.15</v>
      </c>
      <c r="J6" s="125" t="s">
        <v>88</v>
      </c>
      <c r="K6" s="111"/>
      <c r="N6" s="108">
        <f t="shared" si="2"/>
        <v>1</v>
      </c>
    </row>
    <row r="7" spans="1:14" ht="15.75" x14ac:dyDescent="0.25">
      <c r="A7" t="s">
        <v>81</v>
      </c>
      <c r="B7" s="102" t="s">
        <v>89</v>
      </c>
      <c r="C7" s="103"/>
      <c r="D7" s="103"/>
      <c r="E7" s="103"/>
      <c r="F7" s="96" t="e">
        <f t="shared" si="0"/>
        <v>#DIV/0!</v>
      </c>
      <c r="G7" s="104"/>
      <c r="H7" s="105">
        <f t="shared" si="1"/>
        <v>0</v>
      </c>
      <c r="J7" s="125"/>
      <c r="K7" s="111"/>
      <c r="N7" s="108">
        <f t="shared" si="2"/>
        <v>1</v>
      </c>
    </row>
    <row r="8" spans="1:14" ht="15.75" x14ac:dyDescent="0.25">
      <c r="A8" t="s">
        <v>81</v>
      </c>
      <c r="B8" s="102" t="s">
        <v>90</v>
      </c>
      <c r="C8" s="103"/>
      <c r="D8" s="103"/>
      <c r="E8" s="103"/>
      <c r="F8" s="96" t="e">
        <f t="shared" si="0"/>
        <v>#DIV/0!</v>
      </c>
      <c r="G8" s="104"/>
      <c r="H8" s="105">
        <f t="shared" si="1"/>
        <v>0</v>
      </c>
      <c r="J8" s="106" t="s">
        <v>91</v>
      </c>
      <c r="K8" s="107"/>
      <c r="N8" s="108">
        <f t="shared" si="2"/>
        <v>1</v>
      </c>
    </row>
    <row r="9" spans="1:14" ht="15.75" x14ac:dyDescent="0.25">
      <c r="A9" t="s">
        <v>81</v>
      </c>
      <c r="B9" s="102" t="s">
        <v>92</v>
      </c>
      <c r="C9" s="103"/>
      <c r="D9" s="103"/>
      <c r="E9" s="103"/>
      <c r="F9" s="96" t="e">
        <f t="shared" si="0"/>
        <v>#DIV/0!</v>
      </c>
      <c r="G9" s="104"/>
      <c r="H9" s="105">
        <f t="shared" si="1"/>
        <v>0</v>
      </c>
      <c r="J9" s="106" t="s">
        <v>93</v>
      </c>
      <c r="K9" s="110"/>
      <c r="N9" s="108">
        <f t="shared" si="2"/>
        <v>1</v>
      </c>
    </row>
    <row r="10" spans="1:14" ht="15.75" x14ac:dyDescent="0.25">
      <c r="A10" t="s">
        <v>81</v>
      </c>
      <c r="B10" s="102" t="s">
        <v>94</v>
      </c>
      <c r="C10" s="103"/>
      <c r="D10" s="103"/>
      <c r="E10" s="103"/>
      <c r="F10" s="96" t="e">
        <f t="shared" si="0"/>
        <v>#DIV/0!</v>
      </c>
      <c r="G10" s="104"/>
      <c r="H10" s="105">
        <f t="shared" si="1"/>
        <v>0</v>
      </c>
      <c r="J10" s="126" t="s">
        <v>95</v>
      </c>
      <c r="K10" s="112"/>
      <c r="N10" s="108">
        <f t="shared" si="2"/>
        <v>1</v>
      </c>
    </row>
    <row r="11" spans="1:14" ht="15.75" x14ac:dyDescent="0.25">
      <c r="A11" t="s">
        <v>81</v>
      </c>
      <c r="B11" s="102" t="s">
        <v>96</v>
      </c>
      <c r="C11" s="103"/>
      <c r="D11" s="103"/>
      <c r="E11" s="103"/>
      <c r="F11" s="96" t="e">
        <f t="shared" si="0"/>
        <v>#DIV/0!</v>
      </c>
      <c r="G11" s="104"/>
      <c r="H11" s="105">
        <f t="shared" si="1"/>
        <v>0</v>
      </c>
      <c r="J11" s="126"/>
      <c r="K11" s="112"/>
      <c r="N11" s="108">
        <f t="shared" si="2"/>
        <v>1</v>
      </c>
    </row>
    <row r="12" spans="1:14" ht="15.75" x14ac:dyDescent="0.25">
      <c r="A12" t="s">
        <v>81</v>
      </c>
      <c r="B12" s="102" t="s">
        <v>97</v>
      </c>
      <c r="C12" s="103"/>
      <c r="D12" s="103"/>
      <c r="E12" s="103"/>
      <c r="F12" s="96" t="e">
        <f t="shared" si="0"/>
        <v>#DIV/0!</v>
      </c>
      <c r="G12" s="104"/>
      <c r="H12" s="105">
        <f t="shared" si="1"/>
        <v>0</v>
      </c>
      <c r="K12" s="107"/>
      <c r="N12" s="108">
        <f t="shared" si="2"/>
        <v>1</v>
      </c>
    </row>
    <row r="13" spans="1:14" ht="15.75" x14ac:dyDescent="0.25">
      <c r="A13" t="s">
        <v>81</v>
      </c>
      <c r="B13" s="102" t="s">
        <v>98</v>
      </c>
      <c r="C13" s="103"/>
      <c r="D13" s="103"/>
      <c r="E13" s="103"/>
      <c r="F13" s="96" t="e">
        <f t="shared" si="0"/>
        <v>#DIV/0!</v>
      </c>
      <c r="G13" s="104"/>
      <c r="H13" s="105">
        <f t="shared" si="1"/>
        <v>0</v>
      </c>
      <c r="K13" s="113"/>
      <c r="N13" s="108">
        <f t="shared" si="2"/>
        <v>1</v>
      </c>
    </row>
    <row r="14" spans="1:14" ht="15.75" x14ac:dyDescent="0.25">
      <c r="A14" t="s">
        <v>81</v>
      </c>
      <c r="B14" s="102" t="s">
        <v>99</v>
      </c>
      <c r="C14" s="103"/>
      <c r="D14" s="103"/>
      <c r="E14" s="103"/>
      <c r="F14" s="96" t="e">
        <f t="shared" si="0"/>
        <v>#DIV/0!</v>
      </c>
      <c r="G14" s="104"/>
      <c r="H14" s="105">
        <f t="shared" si="1"/>
        <v>0</v>
      </c>
      <c r="K14" s="113"/>
      <c r="N14" s="108">
        <f t="shared" si="2"/>
        <v>1</v>
      </c>
    </row>
    <row r="15" spans="1:14" ht="15.75" x14ac:dyDescent="0.25">
      <c r="A15" t="s">
        <v>81</v>
      </c>
      <c r="B15" s="102" t="s">
        <v>100</v>
      </c>
      <c r="C15" s="103"/>
      <c r="D15" s="103"/>
      <c r="E15" s="103"/>
      <c r="F15" s="96" t="e">
        <f t="shared" si="0"/>
        <v>#DIV/0!</v>
      </c>
      <c r="G15" s="104"/>
      <c r="H15" s="105">
        <f t="shared" si="1"/>
        <v>0</v>
      </c>
      <c r="N15" s="108">
        <f t="shared" si="2"/>
        <v>1</v>
      </c>
    </row>
    <row r="16" spans="1:14" ht="15.75" x14ac:dyDescent="0.25">
      <c r="A16" t="s">
        <v>81</v>
      </c>
      <c r="B16" s="102" t="s">
        <v>101</v>
      </c>
      <c r="C16" s="103"/>
      <c r="D16" s="103"/>
      <c r="E16" s="103"/>
      <c r="F16" s="96" t="e">
        <f t="shared" si="0"/>
        <v>#DIV/0!</v>
      </c>
      <c r="G16" s="104"/>
      <c r="H16" s="105">
        <f t="shared" si="1"/>
        <v>0</v>
      </c>
      <c r="N16" s="108">
        <f t="shared" si="2"/>
        <v>1</v>
      </c>
    </row>
    <row r="17" spans="1:14" ht="15.75" x14ac:dyDescent="0.25">
      <c r="A17" t="s">
        <v>81</v>
      </c>
      <c r="B17" s="102" t="s">
        <v>102</v>
      </c>
      <c r="C17" s="103"/>
      <c r="D17" s="103"/>
      <c r="E17" s="103"/>
      <c r="F17" s="96" t="e">
        <f t="shared" si="0"/>
        <v>#DIV/0!</v>
      </c>
      <c r="G17" s="104"/>
      <c r="H17" s="105">
        <f t="shared" si="1"/>
        <v>0</v>
      </c>
      <c r="N17" s="108">
        <f t="shared" si="2"/>
        <v>1</v>
      </c>
    </row>
    <row r="18" spans="1:14" ht="15.75" x14ac:dyDescent="0.25">
      <c r="A18" t="s">
        <v>81</v>
      </c>
      <c r="B18" s="102" t="s">
        <v>103</v>
      </c>
      <c r="C18" s="103"/>
      <c r="D18" s="103"/>
      <c r="E18" s="103"/>
      <c r="F18" s="96" t="e">
        <f t="shared" si="0"/>
        <v>#DIV/0!</v>
      </c>
      <c r="G18" s="104"/>
      <c r="H18" s="105">
        <f t="shared" si="1"/>
        <v>0</v>
      </c>
      <c r="N18" s="108">
        <f t="shared" si="2"/>
        <v>1</v>
      </c>
    </row>
    <row r="19" spans="1:14" ht="15.75" x14ac:dyDescent="0.25">
      <c r="A19" t="s">
        <v>81</v>
      </c>
      <c r="B19" s="102" t="s">
        <v>104</v>
      </c>
      <c r="C19" s="103"/>
      <c r="D19" s="103"/>
      <c r="E19" s="103"/>
      <c r="F19" s="96" t="e">
        <f t="shared" si="0"/>
        <v>#DIV/0!</v>
      </c>
      <c r="G19" s="104"/>
      <c r="H19" s="105">
        <f t="shared" si="1"/>
        <v>0</v>
      </c>
      <c r="N19" s="108">
        <f t="shared" si="2"/>
        <v>1</v>
      </c>
    </row>
    <row r="20" spans="1:14" ht="15.75" x14ac:dyDescent="0.25">
      <c r="A20" t="s">
        <v>81</v>
      </c>
      <c r="B20" s="102" t="s">
        <v>105</v>
      </c>
      <c r="C20" s="103"/>
      <c r="D20" s="103"/>
      <c r="E20" s="103"/>
      <c r="F20" s="96" t="e">
        <f t="shared" si="0"/>
        <v>#DIV/0!</v>
      </c>
      <c r="G20" s="104"/>
      <c r="H20" s="105">
        <f t="shared" si="1"/>
        <v>0</v>
      </c>
      <c r="N20" s="108">
        <f t="shared" si="2"/>
        <v>1</v>
      </c>
    </row>
    <row r="21" spans="1:14" ht="15.75" x14ac:dyDescent="0.25">
      <c r="A21" t="s">
        <v>81</v>
      </c>
      <c r="B21" s="102" t="s">
        <v>106</v>
      </c>
      <c r="C21" s="103"/>
      <c r="D21" s="103"/>
      <c r="E21" s="103"/>
      <c r="F21" s="96" t="e">
        <f t="shared" si="0"/>
        <v>#DIV/0!</v>
      </c>
      <c r="G21" s="104"/>
      <c r="H21" s="105">
        <f t="shared" si="1"/>
        <v>0</v>
      </c>
      <c r="N21" s="108">
        <f t="shared" si="2"/>
        <v>1</v>
      </c>
    </row>
    <row r="22" spans="1:14" ht="15.75" x14ac:dyDescent="0.25">
      <c r="A22" t="s">
        <v>81</v>
      </c>
      <c r="B22" s="102" t="s">
        <v>107</v>
      </c>
      <c r="C22" s="103"/>
      <c r="D22" s="103"/>
      <c r="E22" s="103"/>
      <c r="F22" s="96" t="e">
        <f t="shared" si="0"/>
        <v>#DIV/0!</v>
      </c>
      <c r="G22" s="104"/>
      <c r="H22" s="105">
        <f t="shared" si="1"/>
        <v>0</v>
      </c>
      <c r="N22" s="108">
        <f t="shared" si="2"/>
        <v>1</v>
      </c>
    </row>
    <row r="23" spans="1:14" ht="15.75" x14ac:dyDescent="0.25">
      <c r="A23" t="s">
        <v>81</v>
      </c>
      <c r="B23" s="102" t="s">
        <v>108</v>
      </c>
      <c r="C23" s="103"/>
      <c r="D23" s="103"/>
      <c r="E23" s="103"/>
      <c r="F23" s="96" t="e">
        <f t="shared" si="0"/>
        <v>#DIV/0!</v>
      </c>
      <c r="G23" s="104"/>
      <c r="H23" s="105">
        <f t="shared" si="1"/>
        <v>0</v>
      </c>
      <c r="N23" s="108">
        <f t="shared" si="2"/>
        <v>1</v>
      </c>
    </row>
    <row r="24" spans="1:14" ht="15.75" x14ac:dyDescent="0.25">
      <c r="A24" t="s">
        <v>81</v>
      </c>
      <c r="B24" s="102" t="s">
        <v>109</v>
      </c>
      <c r="C24" s="103"/>
      <c r="D24" s="103"/>
      <c r="E24" s="103"/>
      <c r="F24" s="96" t="e">
        <f t="shared" si="0"/>
        <v>#DIV/0!</v>
      </c>
      <c r="G24" s="104"/>
      <c r="H24" s="105">
        <f t="shared" si="1"/>
        <v>0</v>
      </c>
      <c r="N24" s="108">
        <f t="shared" si="2"/>
        <v>1</v>
      </c>
    </row>
    <row r="25" spans="1:14" ht="15.75" x14ac:dyDescent="0.25">
      <c r="A25" t="s">
        <v>81</v>
      </c>
      <c r="B25" s="102" t="s">
        <v>110</v>
      </c>
      <c r="C25" s="103"/>
      <c r="D25" s="103"/>
      <c r="E25" s="103"/>
      <c r="F25" s="96" t="e">
        <f t="shared" si="0"/>
        <v>#DIV/0!</v>
      </c>
      <c r="G25" s="104"/>
      <c r="H25" s="105">
        <f t="shared" si="1"/>
        <v>0</v>
      </c>
      <c r="N25" s="108">
        <f t="shared" si="2"/>
        <v>1</v>
      </c>
    </row>
    <row r="26" spans="1:14" ht="15.75" x14ac:dyDescent="0.25">
      <c r="A26" t="s">
        <v>81</v>
      </c>
      <c r="B26" s="102" t="s">
        <v>111</v>
      </c>
      <c r="C26" s="103"/>
      <c r="D26" s="103"/>
      <c r="E26" s="103"/>
      <c r="F26" s="96" t="e">
        <f t="shared" si="0"/>
        <v>#DIV/0!</v>
      </c>
      <c r="G26" s="104"/>
      <c r="H26" s="105">
        <f t="shared" si="1"/>
        <v>0</v>
      </c>
      <c r="N26" s="108">
        <f t="shared" si="2"/>
        <v>1</v>
      </c>
    </row>
    <row r="27" spans="1:14" ht="15.75" x14ac:dyDescent="0.25">
      <c r="A27" t="s">
        <v>81</v>
      </c>
      <c r="B27" s="102" t="s">
        <v>112</v>
      </c>
      <c r="C27" s="103"/>
      <c r="D27" s="103"/>
      <c r="E27" s="103"/>
      <c r="F27" s="96" t="e">
        <f t="shared" si="0"/>
        <v>#DIV/0!</v>
      </c>
      <c r="G27" s="104"/>
      <c r="H27" s="105">
        <f t="shared" si="1"/>
        <v>0</v>
      </c>
      <c r="N27" s="108">
        <f t="shared" si="2"/>
        <v>1</v>
      </c>
    </row>
    <row r="28" spans="1:14" ht="15.75" x14ac:dyDescent="0.25">
      <c r="A28" t="s">
        <v>81</v>
      </c>
      <c r="B28" s="102" t="s">
        <v>113</v>
      </c>
      <c r="C28" s="103"/>
      <c r="D28" s="103"/>
      <c r="E28" s="103"/>
      <c r="F28" s="96" t="e">
        <f t="shared" si="0"/>
        <v>#DIV/0!</v>
      </c>
      <c r="G28" s="104"/>
      <c r="H28" s="105">
        <f t="shared" si="1"/>
        <v>0</v>
      </c>
      <c r="N28" s="108">
        <f t="shared" si="2"/>
        <v>1</v>
      </c>
    </row>
    <row r="29" spans="1:14" ht="15.75" x14ac:dyDescent="0.25">
      <c r="A29" t="s">
        <v>81</v>
      </c>
      <c r="B29" s="102" t="s">
        <v>114</v>
      </c>
      <c r="C29" s="103"/>
      <c r="D29" s="103"/>
      <c r="E29" s="103"/>
      <c r="F29" s="96" t="e">
        <f t="shared" si="0"/>
        <v>#DIV/0!</v>
      </c>
      <c r="G29" s="104"/>
      <c r="H29" s="105">
        <f t="shared" si="1"/>
        <v>0</v>
      </c>
      <c r="N29" s="108">
        <f t="shared" si="2"/>
        <v>1</v>
      </c>
    </row>
    <row r="30" spans="1:14" ht="15.75" x14ac:dyDescent="0.25">
      <c r="A30" t="s">
        <v>81</v>
      </c>
      <c r="B30" s="102" t="s">
        <v>115</v>
      </c>
      <c r="C30" s="103"/>
      <c r="D30" s="103"/>
      <c r="E30" s="103"/>
      <c r="F30" s="96" t="e">
        <f t="shared" si="0"/>
        <v>#DIV/0!</v>
      </c>
      <c r="G30" s="104"/>
      <c r="H30" s="105">
        <f t="shared" si="1"/>
        <v>0</v>
      </c>
      <c r="N30" s="108">
        <f t="shared" si="2"/>
        <v>1</v>
      </c>
    </row>
    <row r="31" spans="1:14" ht="15.75" x14ac:dyDescent="0.25">
      <c r="A31" t="s">
        <v>81</v>
      </c>
      <c r="B31" s="102" t="s">
        <v>116</v>
      </c>
      <c r="C31" s="103"/>
      <c r="D31" s="103"/>
      <c r="E31" s="103"/>
      <c r="F31" s="96" t="e">
        <f t="shared" si="0"/>
        <v>#DIV/0!</v>
      </c>
      <c r="G31" s="104"/>
      <c r="H31" s="105">
        <f t="shared" si="1"/>
        <v>0</v>
      </c>
      <c r="N31" s="108">
        <f t="shared" si="2"/>
        <v>1</v>
      </c>
    </row>
    <row r="32" spans="1:14" ht="15.75" x14ac:dyDescent="0.25">
      <c r="A32" t="s">
        <v>81</v>
      </c>
      <c r="B32" s="102" t="s">
        <v>117</v>
      </c>
      <c r="C32" s="103"/>
      <c r="D32" s="103"/>
      <c r="E32" s="103"/>
      <c r="F32" s="96" t="e">
        <f t="shared" si="0"/>
        <v>#DIV/0!</v>
      </c>
      <c r="G32" s="104"/>
      <c r="H32" s="105">
        <f t="shared" si="1"/>
        <v>0</v>
      </c>
      <c r="N32" s="108">
        <f t="shared" si="2"/>
        <v>1</v>
      </c>
    </row>
    <row r="33" spans="1:14" ht="15.75" x14ac:dyDescent="0.25">
      <c r="A33" t="s">
        <v>81</v>
      </c>
      <c r="B33" s="102" t="s">
        <v>118</v>
      </c>
      <c r="C33" s="103"/>
      <c r="D33" s="103"/>
      <c r="E33" s="103"/>
      <c r="F33" s="96" t="e">
        <f t="shared" si="0"/>
        <v>#DIV/0!</v>
      </c>
      <c r="G33" s="104"/>
      <c r="H33" s="105">
        <f t="shared" si="1"/>
        <v>0</v>
      </c>
      <c r="N33" s="108">
        <f t="shared" si="2"/>
        <v>1</v>
      </c>
    </row>
    <row r="34" spans="1:14" ht="15.75" x14ac:dyDescent="0.25">
      <c r="A34" t="s">
        <v>81</v>
      </c>
      <c r="B34" s="102" t="s">
        <v>119</v>
      </c>
      <c r="C34" s="103"/>
      <c r="D34" s="103"/>
      <c r="E34" s="103"/>
      <c r="F34" s="96" t="e">
        <f t="shared" si="0"/>
        <v>#DIV/0!</v>
      </c>
      <c r="G34" s="104"/>
      <c r="H34" s="105">
        <f t="shared" si="1"/>
        <v>0</v>
      </c>
      <c r="N34" s="108">
        <f t="shared" si="2"/>
        <v>1</v>
      </c>
    </row>
    <row r="35" spans="1:14" ht="15.75" x14ac:dyDescent="0.25">
      <c r="A35" t="s">
        <v>81</v>
      </c>
      <c r="B35" s="102" t="s">
        <v>120</v>
      </c>
      <c r="C35" s="103"/>
      <c r="D35" s="103"/>
      <c r="E35" s="103"/>
      <c r="F35" s="96" t="e">
        <f t="shared" si="0"/>
        <v>#DIV/0!</v>
      </c>
      <c r="G35" s="104"/>
      <c r="H35" s="105">
        <f t="shared" si="1"/>
        <v>0</v>
      </c>
      <c r="N35" s="108">
        <f t="shared" si="2"/>
        <v>1</v>
      </c>
    </row>
    <row r="36" spans="1:14" ht="15.75" x14ac:dyDescent="0.25">
      <c r="A36" t="s">
        <v>81</v>
      </c>
      <c r="B36" s="102" t="s">
        <v>121</v>
      </c>
      <c r="C36" s="103"/>
      <c r="D36" s="103"/>
      <c r="E36" s="103"/>
      <c r="F36" s="96" t="e">
        <f t="shared" si="0"/>
        <v>#DIV/0!</v>
      </c>
      <c r="G36" s="104"/>
      <c r="H36" s="105">
        <f t="shared" si="1"/>
        <v>0</v>
      </c>
      <c r="N36" s="108">
        <f t="shared" si="2"/>
        <v>1</v>
      </c>
    </row>
    <row r="37" spans="1:14" ht="15.75" x14ac:dyDescent="0.25">
      <c r="A37" t="s">
        <v>81</v>
      </c>
      <c r="B37" s="102" t="s">
        <v>122</v>
      </c>
      <c r="C37" s="103"/>
      <c r="D37" s="103"/>
      <c r="E37" s="103"/>
      <c r="F37" s="96" t="e">
        <f t="shared" si="0"/>
        <v>#DIV/0!</v>
      </c>
      <c r="G37" s="104"/>
      <c r="H37" s="105">
        <f t="shared" si="1"/>
        <v>0</v>
      </c>
      <c r="N37" s="108">
        <f t="shared" si="2"/>
        <v>1</v>
      </c>
    </row>
    <row r="38" spans="1:14" ht="15.75" x14ac:dyDescent="0.25">
      <c r="A38" t="s">
        <v>81</v>
      </c>
      <c r="B38" s="102" t="s">
        <v>123</v>
      </c>
      <c r="C38" s="103"/>
      <c r="D38" s="103"/>
      <c r="E38" s="103"/>
      <c r="F38" s="96" t="e">
        <f t="shared" si="0"/>
        <v>#DIV/0!</v>
      </c>
      <c r="G38" s="104"/>
      <c r="H38" s="105">
        <f t="shared" si="1"/>
        <v>0</v>
      </c>
      <c r="N38" s="108">
        <f t="shared" si="2"/>
        <v>1</v>
      </c>
    </row>
    <row r="39" spans="1:14" ht="18.75" x14ac:dyDescent="0.3">
      <c r="A39" s="114"/>
      <c r="B39" s="115"/>
      <c r="C39" s="116">
        <f>SUMPRODUCT(C4:C38,$N$4:$N$38)</f>
        <v>534</v>
      </c>
      <c r="D39" s="116">
        <f>SUMPRODUCT(D4:D38,$N$4:$N$38)</f>
        <v>102.73</v>
      </c>
      <c r="E39" s="116">
        <f>SUMPRODUCT(E4:E38,$N$4:$N$38)</f>
        <v>128510</v>
      </c>
      <c r="G39" s="117"/>
      <c r="H39" s="116">
        <f>SUMPRODUCT(H4:H38,$N$4:$N$38)</f>
        <v>15511.157000000001</v>
      </c>
      <c r="N39" s="97"/>
    </row>
    <row r="40" spans="1:14" ht="6.75" customHeight="1" x14ac:dyDescent="0.25"/>
    <row r="41" spans="1:14" ht="15" x14ac:dyDescent="0.25">
      <c r="N41" s="97"/>
    </row>
    <row r="42" spans="1:14" ht="15" x14ac:dyDescent="0.25">
      <c r="C42" s="119"/>
      <c r="D42"/>
      <c r="E42"/>
      <c r="F42"/>
      <c r="G42"/>
      <c r="H42"/>
      <c r="N42" s="97"/>
    </row>
    <row r="43" spans="1:14" ht="15" x14ac:dyDescent="0.25">
      <c r="D43"/>
      <c r="E43"/>
      <c r="F43"/>
      <c r="G43"/>
      <c r="H43"/>
      <c r="N43" s="97"/>
    </row>
    <row r="44" spans="1:14" ht="15" x14ac:dyDescent="0.25">
      <c r="N44" s="97"/>
    </row>
    <row r="45" spans="1:14" ht="15" x14ac:dyDescent="0.25">
      <c r="N45" s="97"/>
    </row>
    <row r="50" spans="1:11" ht="15" x14ac:dyDescent="0.25">
      <c r="F50"/>
    </row>
    <row r="52" spans="1:11" ht="15" x14ac:dyDescent="0.25">
      <c r="A52" s="120"/>
      <c r="B52" s="121"/>
    </row>
    <row r="53" spans="1:11" s="121" customFormat="1" ht="15" x14ac:dyDescent="0.25">
      <c r="A53" s="122"/>
      <c r="C53" s="123"/>
      <c r="D53" s="123"/>
      <c r="E53" s="123"/>
      <c r="F53" s="123"/>
      <c r="G53" s="123"/>
      <c r="H53" s="123"/>
      <c r="J53" s="123"/>
      <c r="K53" s="123"/>
    </row>
  </sheetData>
  <mergeCells count="3">
    <mergeCell ref="A1:H1"/>
    <mergeCell ref="J6:J7"/>
    <mergeCell ref="J10:J11"/>
  </mergeCells>
  <conditionalFormatting sqref="A4:A39">
    <cfRule type="cellIs" dxfId="3" priority="7" stopIfTrue="1" operator="equal">
      <formula>"Oui"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</hyperlinks>
  <printOptions horizontalCentered="1"/>
  <pageMargins left="0.70826771653543308" right="0.70826771653543308" top="1.1417322834645669" bottom="1.1417322834645669" header="0.74803149606299213" footer="0.74803149606299213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workbookViewId="0"/>
  </sheetViews>
  <sheetFormatPr baseColWidth="10" defaultRowHeight="14.45" x14ac:dyDescent="0.25"/>
  <cols>
    <col min="1" max="1" width="8.140625" customWidth="1"/>
    <col min="2" max="2" width="25.7109375" customWidth="1"/>
    <col min="3" max="3" width="11.140625" customWidth="1"/>
    <col min="4" max="4" width="18.42578125" customWidth="1"/>
    <col min="5" max="5" width="17.42578125" customWidth="1"/>
    <col min="6" max="6" width="13" customWidth="1"/>
    <col min="7" max="7" width="12.5703125" customWidth="1"/>
    <col min="8" max="8" width="15" customWidth="1"/>
    <col min="9" max="9" width="22.28515625" customWidth="1"/>
    <col min="10" max="10" width="23.28515625" customWidth="1"/>
    <col min="11" max="11" width="16.28515625" customWidth="1"/>
    <col min="12" max="12" width="17.5703125" customWidth="1"/>
    <col min="13" max="13" width="16.85546875" customWidth="1"/>
    <col min="14" max="14" width="2.140625" customWidth="1"/>
    <col min="15" max="15" width="29.7109375" customWidth="1"/>
    <col min="16" max="16" width="126.42578125" customWidth="1"/>
    <col min="17" max="17" width="4.140625" customWidth="1"/>
    <col min="18" max="18" width="13.85546875" customWidth="1"/>
    <col min="19" max="23" width="18.42578125" customWidth="1"/>
    <col min="24" max="1024" width="12.28515625" customWidth="1"/>
  </cols>
  <sheetData>
    <row r="1" spans="1:29" ht="26.25" x14ac:dyDescent="0.4">
      <c r="B1" s="167" t="s">
        <v>124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P1" s="127"/>
    </row>
    <row r="2" spans="1:29" ht="15" x14ac:dyDescent="0.25"/>
    <row r="3" spans="1:29" s="128" customFormat="1" ht="32.25" customHeight="1" x14ac:dyDescent="0.25">
      <c r="A3"/>
      <c r="C3" s="129" t="s">
        <v>125</v>
      </c>
      <c r="D3" s="130" t="s">
        <v>126</v>
      </c>
      <c r="E3" s="130" t="s">
        <v>127</v>
      </c>
      <c r="F3" s="130" t="s">
        <v>128</v>
      </c>
      <c r="G3" s="130" t="s">
        <v>129</v>
      </c>
      <c r="H3" s="130" t="s">
        <v>130</v>
      </c>
      <c r="I3" s="130" t="s">
        <v>131</v>
      </c>
      <c r="J3" s="131" t="s">
        <v>132</v>
      </c>
      <c r="K3" s="131" t="s">
        <v>133</v>
      </c>
      <c r="L3" s="131" t="s">
        <v>134</v>
      </c>
      <c r="M3" s="130" t="s">
        <v>135</v>
      </c>
      <c r="N3"/>
      <c r="O3" s="132" t="s">
        <v>136</v>
      </c>
      <c r="P3" s="133" t="s">
        <v>137</v>
      </c>
      <c r="S3"/>
      <c r="T3"/>
      <c r="U3"/>
      <c r="V3"/>
      <c r="W3"/>
      <c r="X3"/>
      <c r="Y3"/>
      <c r="Z3"/>
      <c r="AA3"/>
      <c r="AB3"/>
      <c r="AC3"/>
    </row>
    <row r="4" spans="1:29" ht="15.75" x14ac:dyDescent="0.25">
      <c r="A4" t="str">
        <f>ENCAISSEMENTS!A4</f>
        <v>oui</v>
      </c>
      <c r="B4" s="134" t="str">
        <f>ENCAISSEMENTS!B4</f>
        <v>INSTALL 1</v>
      </c>
      <c r="C4" s="135">
        <v>36000</v>
      </c>
      <c r="D4" s="136">
        <v>1073</v>
      </c>
      <c r="E4" s="103">
        <v>0</v>
      </c>
      <c r="F4" s="103">
        <v>0</v>
      </c>
      <c r="G4" s="103">
        <v>0</v>
      </c>
      <c r="H4" s="103">
        <v>0</v>
      </c>
      <c r="I4" s="103">
        <v>0</v>
      </c>
      <c r="J4" s="103">
        <v>0</v>
      </c>
      <c r="K4" s="103">
        <v>0</v>
      </c>
      <c r="L4" s="103">
        <f>0.3*1325+500</f>
        <v>897.5</v>
      </c>
      <c r="M4" s="137">
        <f t="shared" ref="M4:M39" si="0">SUM(C4:L4)</f>
        <v>37970.5</v>
      </c>
      <c r="N4" s="138"/>
      <c r="O4" s="139" t="s">
        <v>138</v>
      </c>
      <c r="P4" s="140" t="s">
        <v>139</v>
      </c>
    </row>
    <row r="5" spans="1:29" ht="15" x14ac:dyDescent="0.25">
      <c r="A5" t="str">
        <f>ENCAISSEMENTS!A5</f>
        <v>oui</v>
      </c>
      <c r="B5" s="134" t="str">
        <f>ENCAISSEMENTS!B5</f>
        <v>INSTALL 2</v>
      </c>
      <c r="C5" s="135">
        <v>42987</v>
      </c>
      <c r="D5" s="136">
        <v>1073</v>
      </c>
      <c r="E5" s="103">
        <v>0</v>
      </c>
      <c r="F5" s="103">
        <v>0</v>
      </c>
      <c r="G5" s="103">
        <v>0</v>
      </c>
      <c r="H5" s="103">
        <v>0</v>
      </c>
      <c r="I5" s="103">
        <v>1350</v>
      </c>
      <c r="J5" s="103">
        <v>0</v>
      </c>
      <c r="K5" s="103">
        <v>0</v>
      </c>
      <c r="L5" s="103">
        <f>1250+0.3*1325</f>
        <v>1647.5</v>
      </c>
      <c r="M5" s="137">
        <f t="shared" si="0"/>
        <v>47057.5</v>
      </c>
      <c r="N5" s="138"/>
      <c r="O5" s="141"/>
      <c r="P5" s="142" t="s">
        <v>140</v>
      </c>
    </row>
    <row r="6" spans="1:29" ht="15.75" x14ac:dyDescent="0.25">
      <c r="A6" t="str">
        <f>ENCAISSEMENTS!A6</f>
        <v>oui</v>
      </c>
      <c r="B6" s="134" t="str">
        <f>ENCAISSEMENTS!B6</f>
        <v>INSTALL 3</v>
      </c>
      <c r="C6" s="135">
        <v>41568</v>
      </c>
      <c r="D6" s="136">
        <v>1073</v>
      </c>
      <c r="E6" s="103">
        <v>0</v>
      </c>
      <c r="F6" s="103">
        <v>0</v>
      </c>
      <c r="G6" s="103">
        <v>0</v>
      </c>
      <c r="H6" s="103">
        <v>0</v>
      </c>
      <c r="I6" s="103">
        <v>1350</v>
      </c>
      <c r="J6" s="103">
        <v>0</v>
      </c>
      <c r="K6" s="103">
        <v>0</v>
      </c>
      <c r="L6" s="103">
        <f>1200+0.3*1325</f>
        <v>1597.5</v>
      </c>
      <c r="M6" s="137">
        <f t="shared" si="0"/>
        <v>45588.5</v>
      </c>
      <c r="N6" s="138"/>
      <c r="O6" s="139" t="s">
        <v>141</v>
      </c>
      <c r="P6" s="140" t="s">
        <v>142</v>
      </c>
    </row>
    <row r="7" spans="1:29" ht="14.45" customHeight="1" x14ac:dyDescent="0.25">
      <c r="A7" t="str">
        <f>ENCAISSEMENTS!A7</f>
        <v>oui</v>
      </c>
      <c r="B7" s="134" t="str">
        <f>ENCAISSEMENTS!B7</f>
        <v>INSTALL 4</v>
      </c>
      <c r="C7" s="135"/>
      <c r="D7" s="136"/>
      <c r="E7" s="103"/>
      <c r="F7" s="103"/>
      <c r="G7" s="103"/>
      <c r="H7" s="103"/>
      <c r="I7" s="103"/>
      <c r="J7" s="103"/>
      <c r="K7" s="103"/>
      <c r="L7" s="103"/>
      <c r="M7" s="137">
        <f t="shared" si="0"/>
        <v>0</v>
      </c>
      <c r="N7" s="138"/>
      <c r="O7" s="141"/>
      <c r="P7" s="142" t="s">
        <v>143</v>
      </c>
    </row>
    <row r="8" spans="1:29" ht="15" customHeight="1" x14ac:dyDescent="0.25">
      <c r="A8" t="str">
        <f>ENCAISSEMENTS!A8</f>
        <v>oui</v>
      </c>
      <c r="B8" s="134" t="str">
        <f>ENCAISSEMENTS!B8</f>
        <v>INSTALL 5</v>
      </c>
      <c r="C8" s="135"/>
      <c r="D8" s="136"/>
      <c r="E8" s="103"/>
      <c r="F8" s="103"/>
      <c r="G8" s="103"/>
      <c r="H8" s="103"/>
      <c r="I8" s="103"/>
      <c r="J8" s="103"/>
      <c r="K8" s="103"/>
      <c r="L8" s="103"/>
      <c r="M8" s="137">
        <f t="shared" si="0"/>
        <v>0</v>
      </c>
      <c r="N8" s="138"/>
      <c r="O8" s="139" t="s">
        <v>127</v>
      </c>
      <c r="P8" s="140" t="s">
        <v>144</v>
      </c>
    </row>
    <row r="9" spans="1:29" ht="15" x14ac:dyDescent="0.25">
      <c r="A9" t="str">
        <f>ENCAISSEMENTS!A9</f>
        <v>oui</v>
      </c>
      <c r="B9" s="134" t="str">
        <f>ENCAISSEMENTS!B9</f>
        <v>INSTALL 6</v>
      </c>
      <c r="C9" s="135"/>
      <c r="D9" s="136"/>
      <c r="E9" s="103"/>
      <c r="F9" s="103"/>
      <c r="G9" s="103"/>
      <c r="H9" s="103"/>
      <c r="I9" s="103"/>
      <c r="J9" s="103"/>
      <c r="K9" s="103"/>
      <c r="L9" s="103"/>
      <c r="M9" s="137">
        <f t="shared" si="0"/>
        <v>0</v>
      </c>
      <c r="N9" s="138"/>
      <c r="O9" s="141"/>
      <c r="P9" s="142" t="s">
        <v>145</v>
      </c>
    </row>
    <row r="10" spans="1:29" ht="15.75" x14ac:dyDescent="0.25">
      <c r="A10" t="str">
        <f>ENCAISSEMENTS!A10</f>
        <v>oui</v>
      </c>
      <c r="B10" s="134" t="str">
        <f>ENCAISSEMENTS!B10</f>
        <v>INSTALL 7</v>
      </c>
      <c r="C10" s="135"/>
      <c r="D10" s="136"/>
      <c r="E10" s="103"/>
      <c r="F10" s="103"/>
      <c r="G10" s="103"/>
      <c r="H10" s="103"/>
      <c r="I10" s="103"/>
      <c r="J10" s="103"/>
      <c r="K10" s="103"/>
      <c r="L10" s="103"/>
      <c r="M10" s="137">
        <f t="shared" si="0"/>
        <v>0</v>
      </c>
      <c r="N10" s="138"/>
      <c r="O10" s="139" t="s">
        <v>128</v>
      </c>
      <c r="P10" s="140" t="s">
        <v>146</v>
      </c>
    </row>
    <row r="11" spans="1:29" ht="15" x14ac:dyDescent="0.25">
      <c r="A11" t="str">
        <f>ENCAISSEMENTS!A11</f>
        <v>oui</v>
      </c>
      <c r="B11" s="134" t="str">
        <f>ENCAISSEMENTS!B11</f>
        <v>INSTALL 8</v>
      </c>
      <c r="C11" s="135"/>
      <c r="D11" s="136"/>
      <c r="E11" s="103"/>
      <c r="F11" s="103"/>
      <c r="G11" s="103"/>
      <c r="H11" s="103"/>
      <c r="I11" s="103"/>
      <c r="J11" s="103"/>
      <c r="K11" s="103"/>
      <c r="L11" s="103"/>
      <c r="M11" s="137">
        <f t="shared" si="0"/>
        <v>0</v>
      </c>
      <c r="N11" s="138"/>
      <c r="O11" s="141"/>
      <c r="P11" s="142" t="s">
        <v>147</v>
      </c>
    </row>
    <row r="12" spans="1:29" ht="15.75" x14ac:dyDescent="0.25">
      <c r="A12" t="str">
        <f>ENCAISSEMENTS!A12</f>
        <v>oui</v>
      </c>
      <c r="B12" s="134" t="str">
        <f>ENCAISSEMENTS!B12</f>
        <v>INSTALL 9</v>
      </c>
      <c r="C12" s="135"/>
      <c r="D12" s="136"/>
      <c r="E12" s="103"/>
      <c r="F12" s="103"/>
      <c r="G12" s="103"/>
      <c r="H12" s="103"/>
      <c r="I12" s="103"/>
      <c r="J12" s="103"/>
      <c r="K12" s="103"/>
      <c r="L12" s="103"/>
      <c r="M12" s="137">
        <f t="shared" si="0"/>
        <v>0</v>
      </c>
      <c r="N12" s="138"/>
      <c r="O12" s="139" t="s">
        <v>129</v>
      </c>
      <c r="P12" s="140" t="s">
        <v>148</v>
      </c>
    </row>
    <row r="13" spans="1:29" ht="15" x14ac:dyDescent="0.25">
      <c r="A13" t="str">
        <f>ENCAISSEMENTS!A13</f>
        <v>oui</v>
      </c>
      <c r="B13" s="134" t="str">
        <f>ENCAISSEMENTS!B13</f>
        <v>INSTALL 10</v>
      </c>
      <c r="C13" s="135"/>
      <c r="D13" s="136"/>
      <c r="E13" s="103"/>
      <c r="F13" s="103"/>
      <c r="G13" s="103"/>
      <c r="H13" s="103"/>
      <c r="I13" s="103"/>
      <c r="J13" s="103"/>
      <c r="K13" s="103"/>
      <c r="L13" s="103"/>
      <c r="M13" s="137">
        <f t="shared" si="0"/>
        <v>0</v>
      </c>
      <c r="N13" s="138"/>
      <c r="O13" s="141"/>
      <c r="P13" s="142" t="s">
        <v>149</v>
      </c>
    </row>
    <row r="14" spans="1:29" ht="14.45" customHeight="1" x14ac:dyDescent="0.25">
      <c r="A14" t="str">
        <f>ENCAISSEMENTS!A14</f>
        <v>oui</v>
      </c>
      <c r="B14" s="134" t="str">
        <f>ENCAISSEMENTS!B14</f>
        <v>INSTALL 11</v>
      </c>
      <c r="C14" s="135"/>
      <c r="D14" s="136"/>
      <c r="E14" s="103"/>
      <c r="F14" s="103"/>
      <c r="G14" s="103"/>
      <c r="H14" s="103"/>
      <c r="I14" s="103"/>
      <c r="J14" s="103"/>
      <c r="K14" s="103"/>
      <c r="L14" s="103"/>
      <c r="M14" s="137">
        <f t="shared" si="0"/>
        <v>0</v>
      </c>
      <c r="N14" s="138"/>
      <c r="O14" s="139" t="s">
        <v>130</v>
      </c>
      <c r="P14" s="140" t="s">
        <v>150</v>
      </c>
    </row>
    <row r="15" spans="1:29" ht="15" customHeight="1" x14ac:dyDescent="0.25">
      <c r="A15" t="str">
        <f>ENCAISSEMENTS!A15</f>
        <v>oui</v>
      </c>
      <c r="B15" s="134" t="str">
        <f>ENCAISSEMENTS!B15</f>
        <v>INSTALL 12</v>
      </c>
      <c r="C15" s="135"/>
      <c r="D15" s="136"/>
      <c r="E15" s="103"/>
      <c r="F15" s="103"/>
      <c r="G15" s="103"/>
      <c r="H15" s="103"/>
      <c r="I15" s="103"/>
      <c r="J15" s="103"/>
      <c r="K15" s="103"/>
      <c r="L15" s="103"/>
      <c r="M15" s="137">
        <f t="shared" si="0"/>
        <v>0</v>
      </c>
      <c r="N15" s="138"/>
      <c r="O15" s="141"/>
      <c r="P15" s="142" t="s">
        <v>151</v>
      </c>
    </row>
    <row r="16" spans="1:29" ht="15.75" x14ac:dyDescent="0.25">
      <c r="A16" t="str">
        <f>ENCAISSEMENTS!A16</f>
        <v>oui</v>
      </c>
      <c r="B16" s="134" t="str">
        <f>ENCAISSEMENTS!B16</f>
        <v>INSTALL 13</v>
      </c>
      <c r="C16" s="135"/>
      <c r="D16" s="136"/>
      <c r="E16" s="103"/>
      <c r="F16" s="103"/>
      <c r="G16" s="103"/>
      <c r="H16" s="103"/>
      <c r="I16" s="103"/>
      <c r="J16" s="103"/>
      <c r="K16" s="103"/>
      <c r="L16" s="103"/>
      <c r="M16" s="137">
        <f t="shared" si="0"/>
        <v>0</v>
      </c>
      <c r="N16" s="138"/>
      <c r="O16" s="139" t="s">
        <v>131</v>
      </c>
      <c r="P16" s="140" t="s">
        <v>152</v>
      </c>
    </row>
    <row r="17" spans="1:16" ht="15" customHeight="1" x14ac:dyDescent="0.25">
      <c r="A17" t="str">
        <f>ENCAISSEMENTS!A17</f>
        <v>oui</v>
      </c>
      <c r="B17" s="134" t="str">
        <f>ENCAISSEMENTS!B17</f>
        <v>INSTALL 14</v>
      </c>
      <c r="C17" s="135"/>
      <c r="D17" s="136"/>
      <c r="E17" s="103"/>
      <c r="F17" s="103"/>
      <c r="G17" s="103"/>
      <c r="H17" s="103"/>
      <c r="I17" s="103"/>
      <c r="J17" s="103"/>
      <c r="K17" s="103"/>
      <c r="L17" s="103"/>
      <c r="M17" s="137">
        <f t="shared" si="0"/>
        <v>0</v>
      </c>
      <c r="N17" s="138"/>
      <c r="O17" s="143"/>
      <c r="P17" s="144"/>
    </row>
    <row r="18" spans="1:16" ht="15.75" x14ac:dyDescent="0.25">
      <c r="A18" t="str">
        <f>ENCAISSEMENTS!A18</f>
        <v>oui</v>
      </c>
      <c r="B18" s="134" t="str">
        <f>ENCAISSEMENTS!B18</f>
        <v>INSTALL 15</v>
      </c>
      <c r="C18" s="135"/>
      <c r="D18" s="136"/>
      <c r="E18" s="103"/>
      <c r="F18" s="103"/>
      <c r="G18" s="103"/>
      <c r="H18" s="103"/>
      <c r="I18" s="103"/>
      <c r="J18" s="103"/>
      <c r="K18" s="103"/>
      <c r="L18" s="103"/>
      <c r="M18" s="137">
        <f t="shared" si="0"/>
        <v>0</v>
      </c>
      <c r="N18" s="138"/>
      <c r="O18" s="139" t="s">
        <v>153</v>
      </c>
      <c r="P18" s="140" t="s">
        <v>154</v>
      </c>
    </row>
    <row r="19" spans="1:16" ht="15" x14ac:dyDescent="0.25">
      <c r="A19" t="str">
        <f>ENCAISSEMENTS!A19</f>
        <v>oui</v>
      </c>
      <c r="B19" s="134" t="str">
        <f>ENCAISSEMENTS!B19</f>
        <v>INSTALL 16</v>
      </c>
      <c r="C19" s="135"/>
      <c r="D19" s="136"/>
      <c r="E19" s="103"/>
      <c r="F19" s="103"/>
      <c r="G19" s="103"/>
      <c r="H19" s="103"/>
      <c r="I19" s="103"/>
      <c r="J19" s="103"/>
      <c r="K19" s="103"/>
      <c r="L19" s="103"/>
      <c r="M19" s="137">
        <f t="shared" si="0"/>
        <v>0</v>
      </c>
      <c r="N19" s="138"/>
      <c r="O19" s="145"/>
      <c r="P19" s="142" t="s">
        <v>155</v>
      </c>
    </row>
    <row r="20" spans="1:16" ht="15" x14ac:dyDescent="0.25">
      <c r="A20" t="str">
        <f>ENCAISSEMENTS!A20</f>
        <v>oui</v>
      </c>
      <c r="B20" s="134" t="str">
        <f>ENCAISSEMENTS!B20</f>
        <v>INSTALL 17</v>
      </c>
      <c r="C20" s="135"/>
      <c r="D20" s="136"/>
      <c r="E20" s="103"/>
      <c r="F20" s="103"/>
      <c r="G20" s="103"/>
      <c r="H20" s="103"/>
      <c r="I20" s="103"/>
      <c r="J20" s="103"/>
      <c r="K20" s="103"/>
      <c r="L20" s="103"/>
      <c r="M20" s="137">
        <f t="shared" si="0"/>
        <v>0</v>
      </c>
      <c r="N20" s="138"/>
    </row>
    <row r="21" spans="1:16" ht="15" x14ac:dyDescent="0.25">
      <c r="A21" t="str">
        <f>ENCAISSEMENTS!A21</f>
        <v>oui</v>
      </c>
      <c r="B21" s="134" t="str">
        <f>ENCAISSEMENTS!B21</f>
        <v>INSTALL 18</v>
      </c>
      <c r="C21" s="135"/>
      <c r="D21" s="136"/>
      <c r="E21" s="103"/>
      <c r="F21" s="103"/>
      <c r="G21" s="103"/>
      <c r="H21" s="103"/>
      <c r="I21" s="103"/>
      <c r="J21" s="103"/>
      <c r="K21" s="103"/>
      <c r="L21" s="103"/>
      <c r="M21" s="137">
        <f t="shared" si="0"/>
        <v>0</v>
      </c>
      <c r="N21" s="138"/>
    </row>
    <row r="22" spans="1:16" ht="15" x14ac:dyDescent="0.25">
      <c r="A22" t="str">
        <f>ENCAISSEMENTS!A22</f>
        <v>oui</v>
      </c>
      <c r="B22" s="134" t="str">
        <f>ENCAISSEMENTS!B22</f>
        <v>INSTALL 19</v>
      </c>
      <c r="C22" s="135"/>
      <c r="D22" s="136"/>
      <c r="E22" s="103"/>
      <c r="F22" s="103"/>
      <c r="G22" s="103"/>
      <c r="H22" s="103"/>
      <c r="I22" s="103"/>
      <c r="J22" s="103"/>
      <c r="K22" s="103"/>
      <c r="L22" s="103"/>
      <c r="M22" s="137">
        <f t="shared" si="0"/>
        <v>0</v>
      </c>
      <c r="N22" s="138"/>
    </row>
    <row r="23" spans="1:16" ht="14.45" customHeight="1" x14ac:dyDescent="0.25">
      <c r="A23" t="str">
        <f>ENCAISSEMENTS!A23</f>
        <v>oui</v>
      </c>
      <c r="B23" s="134" t="str">
        <f>ENCAISSEMENTS!B23</f>
        <v>INSTALL 20</v>
      </c>
      <c r="C23" s="135"/>
      <c r="D23" s="136"/>
      <c r="E23" s="103"/>
      <c r="F23" s="103"/>
      <c r="G23" s="103"/>
      <c r="H23" s="103"/>
      <c r="I23" s="103"/>
      <c r="J23" s="103"/>
      <c r="K23" s="103"/>
      <c r="L23" s="103"/>
      <c r="M23" s="137">
        <f t="shared" si="0"/>
        <v>0</v>
      </c>
      <c r="N23" s="138"/>
    </row>
    <row r="24" spans="1:16" ht="15" customHeight="1" x14ac:dyDescent="0.25">
      <c r="A24" t="str">
        <f>ENCAISSEMENTS!A24</f>
        <v>oui</v>
      </c>
      <c r="B24" s="134" t="str">
        <f>ENCAISSEMENTS!B24</f>
        <v>INSTALL 21</v>
      </c>
      <c r="C24" s="135"/>
      <c r="D24" s="136"/>
      <c r="E24" s="103"/>
      <c r="F24" s="103"/>
      <c r="G24" s="103"/>
      <c r="H24" s="103"/>
      <c r="I24" s="103"/>
      <c r="J24" s="103"/>
      <c r="K24" s="103"/>
      <c r="L24" s="103"/>
      <c r="M24" s="137">
        <f t="shared" si="0"/>
        <v>0</v>
      </c>
      <c r="N24" s="138"/>
    </row>
    <row r="25" spans="1:16" ht="15" x14ac:dyDescent="0.25">
      <c r="A25" t="str">
        <f>ENCAISSEMENTS!A25</f>
        <v>oui</v>
      </c>
      <c r="B25" s="134" t="str">
        <f>ENCAISSEMENTS!B25</f>
        <v>INSTALL 22</v>
      </c>
      <c r="C25" s="135"/>
      <c r="D25" s="136"/>
      <c r="E25" s="103"/>
      <c r="F25" s="103"/>
      <c r="G25" s="103"/>
      <c r="H25" s="103"/>
      <c r="I25" s="103"/>
      <c r="J25" s="103"/>
      <c r="K25" s="103"/>
      <c r="L25" s="103"/>
      <c r="M25" s="137">
        <f t="shared" si="0"/>
        <v>0</v>
      </c>
      <c r="N25" s="138"/>
    </row>
    <row r="26" spans="1:16" ht="15" x14ac:dyDescent="0.25">
      <c r="A26" t="str">
        <f>ENCAISSEMENTS!A26</f>
        <v>oui</v>
      </c>
      <c r="B26" s="134" t="str">
        <f>ENCAISSEMENTS!B26</f>
        <v>INSTALL 23</v>
      </c>
      <c r="C26" s="135"/>
      <c r="D26" s="136"/>
      <c r="E26" s="103"/>
      <c r="F26" s="103"/>
      <c r="G26" s="103"/>
      <c r="H26" s="103"/>
      <c r="I26" s="103"/>
      <c r="J26" s="103"/>
      <c r="K26" s="103"/>
      <c r="L26" s="103"/>
      <c r="M26" s="137">
        <f t="shared" si="0"/>
        <v>0</v>
      </c>
      <c r="N26" s="138"/>
    </row>
    <row r="27" spans="1:16" ht="15" x14ac:dyDescent="0.25">
      <c r="A27" t="str">
        <f>ENCAISSEMENTS!A27</f>
        <v>oui</v>
      </c>
      <c r="B27" s="134" t="str">
        <f>ENCAISSEMENTS!B27</f>
        <v>INSTALL 24</v>
      </c>
      <c r="C27" s="135"/>
      <c r="D27" s="136"/>
      <c r="E27" s="146"/>
      <c r="F27" s="146"/>
      <c r="G27" s="103"/>
      <c r="H27" s="103"/>
      <c r="I27" s="103"/>
      <c r="J27" s="103"/>
      <c r="K27" s="103"/>
      <c r="L27" s="103"/>
      <c r="M27" s="137">
        <f t="shared" si="0"/>
        <v>0</v>
      </c>
      <c r="N27" s="138"/>
    </row>
    <row r="28" spans="1:16" ht="15" x14ac:dyDescent="0.25">
      <c r="A28" t="str">
        <f>ENCAISSEMENTS!A28</f>
        <v>oui</v>
      </c>
      <c r="B28" s="134" t="str">
        <f>ENCAISSEMENTS!B28</f>
        <v>INSTALL 25</v>
      </c>
      <c r="C28" s="135"/>
      <c r="D28" s="136"/>
      <c r="E28" s="146"/>
      <c r="F28" s="146"/>
      <c r="G28" s="103"/>
      <c r="H28" s="103"/>
      <c r="I28" s="103"/>
      <c r="J28" s="103"/>
      <c r="K28" s="103"/>
      <c r="L28" s="103"/>
      <c r="M28" s="137">
        <f t="shared" si="0"/>
        <v>0</v>
      </c>
      <c r="N28" s="138"/>
    </row>
    <row r="29" spans="1:16" ht="15" x14ac:dyDescent="0.25">
      <c r="A29" t="str">
        <f>ENCAISSEMENTS!A29</f>
        <v>oui</v>
      </c>
      <c r="B29" s="134" t="str">
        <f>ENCAISSEMENTS!B29</f>
        <v>INSTALL 26</v>
      </c>
      <c r="C29" s="135"/>
      <c r="D29" s="136"/>
      <c r="E29" s="146"/>
      <c r="F29" s="146"/>
      <c r="G29" s="103"/>
      <c r="H29" s="103"/>
      <c r="I29" s="103"/>
      <c r="J29" s="103"/>
      <c r="K29" s="103"/>
      <c r="L29" s="103"/>
      <c r="M29" s="137">
        <f t="shared" si="0"/>
        <v>0</v>
      </c>
      <c r="N29" s="138"/>
    </row>
    <row r="30" spans="1:16" ht="15" customHeight="1" x14ac:dyDescent="0.25">
      <c r="A30" t="str">
        <f>ENCAISSEMENTS!A30</f>
        <v>oui</v>
      </c>
      <c r="B30" s="134" t="str">
        <f>ENCAISSEMENTS!B30</f>
        <v>INSTALL 27</v>
      </c>
      <c r="C30" s="135"/>
      <c r="D30" s="136"/>
      <c r="E30" s="103"/>
      <c r="F30" s="103"/>
      <c r="G30" s="103"/>
      <c r="H30" s="103"/>
      <c r="I30" s="103"/>
      <c r="J30" s="103"/>
      <c r="K30" s="103"/>
      <c r="L30" s="103"/>
      <c r="M30" s="137">
        <f t="shared" si="0"/>
        <v>0</v>
      </c>
      <c r="N30" s="138"/>
    </row>
    <row r="31" spans="1:16" ht="15" x14ac:dyDescent="0.25">
      <c r="A31" t="str">
        <f>ENCAISSEMENTS!A31</f>
        <v>oui</v>
      </c>
      <c r="B31" s="134" t="str">
        <f>ENCAISSEMENTS!B31</f>
        <v>INSTALL 28</v>
      </c>
      <c r="C31" s="135"/>
      <c r="D31" s="136"/>
      <c r="E31" s="103"/>
      <c r="F31" s="103"/>
      <c r="G31" s="103"/>
      <c r="H31" s="103"/>
      <c r="I31" s="103"/>
      <c r="J31" s="103"/>
      <c r="K31" s="103"/>
      <c r="L31" s="103"/>
      <c r="M31" s="137">
        <f t="shared" si="0"/>
        <v>0</v>
      </c>
      <c r="N31" s="138"/>
    </row>
    <row r="32" spans="1:16" ht="15" x14ac:dyDescent="0.25">
      <c r="A32" t="str">
        <f>ENCAISSEMENTS!A32</f>
        <v>oui</v>
      </c>
      <c r="B32" s="134" t="str">
        <f>ENCAISSEMENTS!B32</f>
        <v>INSTALL 29</v>
      </c>
      <c r="C32" s="135"/>
      <c r="D32" s="136"/>
      <c r="E32" s="103"/>
      <c r="F32" s="103"/>
      <c r="G32" s="103"/>
      <c r="H32" s="103"/>
      <c r="I32" s="103"/>
      <c r="J32" s="103"/>
      <c r="K32" s="103"/>
      <c r="L32" s="103"/>
      <c r="M32" s="137">
        <f t="shared" si="0"/>
        <v>0</v>
      </c>
      <c r="N32" s="138"/>
    </row>
    <row r="33" spans="1:22" ht="15" x14ac:dyDescent="0.25">
      <c r="A33" t="str">
        <f>ENCAISSEMENTS!A33</f>
        <v>oui</v>
      </c>
      <c r="B33" s="134" t="str">
        <f>ENCAISSEMENTS!B33</f>
        <v>INSTALL 30</v>
      </c>
      <c r="C33" s="135"/>
      <c r="D33" s="136"/>
      <c r="E33" s="146"/>
      <c r="F33" s="146"/>
      <c r="G33" s="103"/>
      <c r="H33" s="103"/>
      <c r="I33" s="103"/>
      <c r="J33" s="103"/>
      <c r="K33" s="103"/>
      <c r="L33" s="103"/>
      <c r="M33" s="137">
        <f t="shared" si="0"/>
        <v>0</v>
      </c>
      <c r="N33" s="138"/>
    </row>
    <row r="34" spans="1:22" ht="15" x14ac:dyDescent="0.25">
      <c r="A34" t="str">
        <f>ENCAISSEMENTS!A34</f>
        <v>oui</v>
      </c>
      <c r="B34" s="134" t="str">
        <f>ENCAISSEMENTS!B34</f>
        <v>INSTALL 31</v>
      </c>
      <c r="C34" s="135"/>
      <c r="D34" s="136"/>
      <c r="E34" s="146"/>
      <c r="F34" s="146"/>
      <c r="G34" s="103"/>
      <c r="H34" s="103"/>
      <c r="I34" s="103"/>
      <c r="J34" s="103"/>
      <c r="K34" s="103"/>
      <c r="L34" s="103"/>
      <c r="M34" s="137">
        <f t="shared" si="0"/>
        <v>0</v>
      </c>
      <c r="N34" s="138"/>
    </row>
    <row r="35" spans="1:22" ht="15" x14ac:dyDescent="0.25">
      <c r="A35" t="str">
        <f>ENCAISSEMENTS!A35</f>
        <v>oui</v>
      </c>
      <c r="B35" s="134" t="str">
        <f>ENCAISSEMENTS!B35</f>
        <v>INSTALL 32</v>
      </c>
      <c r="C35" s="135"/>
      <c r="D35" s="136"/>
      <c r="E35" s="146"/>
      <c r="F35" s="146"/>
      <c r="G35" s="103"/>
      <c r="H35" s="103"/>
      <c r="I35" s="103"/>
      <c r="J35" s="103"/>
      <c r="K35" s="103"/>
      <c r="L35" s="103"/>
      <c r="M35" s="137">
        <f t="shared" si="0"/>
        <v>0</v>
      </c>
      <c r="N35" s="138"/>
    </row>
    <row r="36" spans="1:22" ht="15" x14ac:dyDescent="0.25">
      <c r="A36" t="str">
        <f>ENCAISSEMENTS!A36</f>
        <v>oui</v>
      </c>
      <c r="B36" s="134" t="str">
        <f>ENCAISSEMENTS!B36</f>
        <v>INSTALL 33</v>
      </c>
      <c r="C36" s="135"/>
      <c r="D36" s="136"/>
      <c r="E36" s="146"/>
      <c r="F36" s="146"/>
      <c r="G36" s="103"/>
      <c r="H36" s="103"/>
      <c r="I36" s="103"/>
      <c r="J36" s="103"/>
      <c r="K36" s="103"/>
      <c r="L36" s="103"/>
      <c r="M36" s="137">
        <f t="shared" si="0"/>
        <v>0</v>
      </c>
      <c r="N36" s="138"/>
    </row>
    <row r="37" spans="1:22" ht="15" x14ac:dyDescent="0.25">
      <c r="A37" t="str">
        <f>ENCAISSEMENTS!A37</f>
        <v>oui</v>
      </c>
      <c r="B37" s="134" t="str">
        <f>ENCAISSEMENTS!B37</f>
        <v>INSTALL 34</v>
      </c>
      <c r="C37" s="135"/>
      <c r="D37" s="136"/>
      <c r="E37" s="146"/>
      <c r="F37" s="146"/>
      <c r="G37" s="103"/>
      <c r="H37" s="103"/>
      <c r="I37" s="103"/>
      <c r="J37" s="103"/>
      <c r="K37" s="103"/>
      <c r="L37" s="103"/>
      <c r="M37" s="137">
        <f t="shared" si="0"/>
        <v>0</v>
      </c>
      <c r="N37" s="138"/>
    </row>
    <row r="38" spans="1:22" ht="15" x14ac:dyDescent="0.25">
      <c r="A38" t="str">
        <f>ENCAISSEMENTS!A38</f>
        <v>oui</v>
      </c>
      <c r="B38" s="134" t="str">
        <f>ENCAISSEMENTS!B38</f>
        <v>INSTALL 35</v>
      </c>
      <c r="C38" s="135"/>
      <c r="D38" s="136"/>
      <c r="E38" s="146"/>
      <c r="F38" s="146"/>
      <c r="G38" s="103"/>
      <c r="H38" s="103"/>
      <c r="I38" s="103"/>
      <c r="J38" s="103"/>
      <c r="K38" s="103"/>
      <c r="L38" s="103"/>
      <c r="M38" s="147">
        <f t="shared" si="0"/>
        <v>0</v>
      </c>
      <c r="N38" s="138"/>
    </row>
    <row r="39" spans="1:22" ht="18.75" x14ac:dyDescent="0.3">
      <c r="A39" s="168" t="s">
        <v>156</v>
      </c>
      <c r="B39" s="168"/>
      <c r="C39" s="148">
        <f>SUMPRODUCT(C4:C38,ENCAISSEMENTS!$N$4:$N$38)</f>
        <v>120555</v>
      </c>
      <c r="D39" s="148">
        <f>SUMPRODUCT(D4:D38,ENCAISSEMENTS!$N$4:$N$38)</f>
        <v>3219</v>
      </c>
      <c r="E39" s="148">
        <f>SUMPRODUCT(E4:E38,ENCAISSEMENTS!$N$4:$N$38)</f>
        <v>0</v>
      </c>
      <c r="F39" s="148">
        <f>SUMPRODUCT(F4:F38,ENCAISSEMENTS!$N$4:$N$38)</f>
        <v>0</v>
      </c>
      <c r="G39" s="148">
        <f>SUMPRODUCT(G4:G38,ENCAISSEMENTS!$N$4:$N$38)</f>
        <v>0</v>
      </c>
      <c r="H39" s="148">
        <f>SUMPRODUCT(H4:H38,ENCAISSEMENTS!$N$4:$N$38)</f>
        <v>0</v>
      </c>
      <c r="I39" s="148">
        <f>SUMPRODUCT(I4:I38,ENCAISSEMENTS!$N$4:$N$38)</f>
        <v>2700</v>
      </c>
      <c r="J39" s="148">
        <f>SUMPRODUCT(J4:J38,ENCAISSEMENTS!$N$4:$N$38)</f>
        <v>0</v>
      </c>
      <c r="K39" s="148">
        <f>SUMPRODUCT(K4:K38,ENCAISSEMENTS!$N$4:$N$38)</f>
        <v>0</v>
      </c>
      <c r="L39" s="148">
        <f>SUMPRODUCT(L4:L38,ENCAISSEMENTS!$N$4:$N$38)</f>
        <v>4142.5</v>
      </c>
      <c r="M39" s="149">
        <f t="shared" si="0"/>
        <v>130616.5</v>
      </c>
    </row>
    <row r="40" spans="1:22" ht="15" x14ac:dyDescent="0.25"/>
    <row r="41" spans="1:22" ht="15" x14ac:dyDescent="0.25"/>
    <row r="42" spans="1:22" ht="26.25" x14ac:dyDescent="0.4">
      <c r="B42" s="167" t="s">
        <v>157</v>
      </c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O42" s="132" t="s">
        <v>158</v>
      </c>
      <c r="P42" s="150"/>
    </row>
    <row r="43" spans="1:22" ht="15" x14ac:dyDescent="0.25"/>
    <row r="44" spans="1:22" s="151" customFormat="1" ht="31.5" x14ac:dyDescent="0.25">
      <c r="A44"/>
      <c r="C44" s="96" t="s">
        <v>159</v>
      </c>
      <c r="D44" s="96" t="s">
        <v>160</v>
      </c>
      <c r="E44" s="96" t="s">
        <v>161</v>
      </c>
      <c r="F44" s="152" t="s">
        <v>162</v>
      </c>
      <c r="G44" s="96" t="s">
        <v>163</v>
      </c>
      <c r="H44" s="96" t="s">
        <v>164</v>
      </c>
      <c r="I44" s="96" t="s">
        <v>165</v>
      </c>
      <c r="J44" s="96" t="s">
        <v>166</v>
      </c>
      <c r="K44" s="153" t="s">
        <v>135</v>
      </c>
      <c r="N44"/>
      <c r="O44" s="139" t="s">
        <v>167</v>
      </c>
      <c r="P44" s="140" t="s">
        <v>168</v>
      </c>
      <c r="Q44"/>
      <c r="R44"/>
      <c r="S44"/>
      <c r="T44"/>
      <c r="U44"/>
      <c r="V44"/>
    </row>
    <row r="45" spans="1:22" ht="15.75" x14ac:dyDescent="0.25">
      <c r="A45" t="str">
        <f>ENCAISSEMENTS!A4</f>
        <v>oui</v>
      </c>
      <c r="B45" s="134" t="str">
        <f>ENCAISSEMENTS!B4</f>
        <v>INSTALL 1</v>
      </c>
      <c r="C45" s="154">
        <f>ENCAISSEMENTS!C4</f>
        <v>190</v>
      </c>
      <c r="D45" s="103">
        <v>300</v>
      </c>
      <c r="E45" s="103">
        <v>200</v>
      </c>
      <c r="F45" s="103">
        <v>200</v>
      </c>
      <c r="G45" s="155">
        <v>35</v>
      </c>
      <c r="H45" s="155">
        <v>130</v>
      </c>
      <c r="I45" s="155">
        <v>20</v>
      </c>
      <c r="J45" s="155">
        <v>100</v>
      </c>
      <c r="K45" s="156">
        <f t="shared" ref="K45:K80" si="1">SUM(D45:J45)</f>
        <v>985</v>
      </c>
      <c r="O45" s="143"/>
      <c r="P45" s="144" t="s">
        <v>169</v>
      </c>
    </row>
    <row r="46" spans="1:22" ht="15.75" x14ac:dyDescent="0.25">
      <c r="A46" t="str">
        <f>ENCAISSEMENTS!A5</f>
        <v>oui</v>
      </c>
      <c r="B46" s="134" t="str">
        <f>ENCAISSEMENTS!B5</f>
        <v>INSTALL 2</v>
      </c>
      <c r="C46" s="154">
        <f>ENCAISSEMENTS!C5</f>
        <v>154</v>
      </c>
      <c r="D46" s="103">
        <v>300</v>
      </c>
      <c r="E46" s="103">
        <v>200</v>
      </c>
      <c r="F46" s="103">
        <v>200</v>
      </c>
      <c r="G46" s="155">
        <v>35</v>
      </c>
      <c r="H46" s="155">
        <v>130</v>
      </c>
      <c r="I46" s="155">
        <v>20</v>
      </c>
      <c r="J46" s="155">
        <v>100</v>
      </c>
      <c r="K46" s="156">
        <f t="shared" si="1"/>
        <v>985</v>
      </c>
      <c r="O46" s="139" t="s">
        <v>170</v>
      </c>
      <c r="P46" s="140" t="s">
        <v>171</v>
      </c>
    </row>
    <row r="47" spans="1:22" ht="15.75" x14ac:dyDescent="0.25">
      <c r="A47" t="str">
        <f>ENCAISSEMENTS!A6</f>
        <v>oui</v>
      </c>
      <c r="B47" s="134" t="str">
        <f>ENCAISSEMENTS!B6</f>
        <v>INSTALL 3</v>
      </c>
      <c r="C47" s="154">
        <f>ENCAISSEMENTS!C6</f>
        <v>190</v>
      </c>
      <c r="D47" s="103">
        <v>300</v>
      </c>
      <c r="E47" s="103">
        <v>200</v>
      </c>
      <c r="F47" s="103">
        <v>200</v>
      </c>
      <c r="G47" s="155">
        <v>35</v>
      </c>
      <c r="H47" s="155">
        <v>130</v>
      </c>
      <c r="I47" s="155">
        <v>20</v>
      </c>
      <c r="J47" s="155">
        <v>100</v>
      </c>
      <c r="K47" s="156">
        <f t="shared" si="1"/>
        <v>985</v>
      </c>
      <c r="O47" s="143"/>
      <c r="P47" s="144" t="s">
        <v>172</v>
      </c>
    </row>
    <row r="48" spans="1:22" ht="15.75" x14ac:dyDescent="0.25">
      <c r="A48" t="str">
        <f>ENCAISSEMENTS!A7</f>
        <v>oui</v>
      </c>
      <c r="B48" s="134" t="str">
        <f>ENCAISSEMENTS!B7</f>
        <v>INSTALL 4</v>
      </c>
      <c r="C48" s="154">
        <f>ENCAISSEMENTS!C7</f>
        <v>0</v>
      </c>
      <c r="D48" s="103"/>
      <c r="E48" s="103"/>
      <c r="F48" s="103"/>
      <c r="G48" s="155"/>
      <c r="H48" s="155"/>
      <c r="I48" s="155"/>
      <c r="J48" s="155"/>
      <c r="K48" s="156">
        <f t="shared" si="1"/>
        <v>0</v>
      </c>
      <c r="O48" s="157"/>
      <c r="P48" s="144" t="s">
        <v>173</v>
      </c>
    </row>
    <row r="49" spans="1:16" ht="15.75" x14ac:dyDescent="0.25">
      <c r="A49" t="str">
        <f>ENCAISSEMENTS!A8</f>
        <v>oui</v>
      </c>
      <c r="B49" s="134" t="str">
        <f>ENCAISSEMENTS!B8</f>
        <v>INSTALL 5</v>
      </c>
      <c r="C49" s="154">
        <f>ENCAISSEMENTS!C8</f>
        <v>0</v>
      </c>
      <c r="D49" s="103"/>
      <c r="E49" s="103"/>
      <c r="F49" s="103"/>
      <c r="G49" s="155"/>
      <c r="H49" s="155"/>
      <c r="I49" s="155"/>
      <c r="J49" s="155"/>
      <c r="K49" s="156">
        <f t="shared" si="1"/>
        <v>0</v>
      </c>
      <c r="O49" s="157"/>
      <c r="P49" s="144" t="s">
        <v>174</v>
      </c>
    </row>
    <row r="50" spans="1:16" ht="15.75" x14ac:dyDescent="0.25">
      <c r="A50" t="str">
        <f>ENCAISSEMENTS!A9</f>
        <v>oui</v>
      </c>
      <c r="B50" s="134" t="str">
        <f>ENCAISSEMENTS!B9</f>
        <v>INSTALL 6</v>
      </c>
      <c r="C50" s="154">
        <f>ENCAISSEMENTS!C9</f>
        <v>0</v>
      </c>
      <c r="D50" s="103"/>
      <c r="E50" s="103"/>
      <c r="F50" s="103"/>
      <c r="G50" s="155"/>
      <c r="H50" s="155"/>
      <c r="I50" s="155"/>
      <c r="J50" s="155"/>
      <c r="K50" s="156">
        <f t="shared" si="1"/>
        <v>0</v>
      </c>
      <c r="O50" s="157"/>
      <c r="P50" s="144" t="s">
        <v>175</v>
      </c>
    </row>
    <row r="51" spans="1:16" ht="15.75" x14ac:dyDescent="0.25">
      <c r="A51" t="str">
        <f>ENCAISSEMENTS!A10</f>
        <v>oui</v>
      </c>
      <c r="B51" s="134" t="str">
        <f>ENCAISSEMENTS!B10</f>
        <v>INSTALL 7</v>
      </c>
      <c r="C51" s="154">
        <f>ENCAISSEMENTS!C10</f>
        <v>0</v>
      </c>
      <c r="D51" s="103"/>
      <c r="E51" s="103"/>
      <c r="F51" s="103"/>
      <c r="G51" s="155"/>
      <c r="H51" s="155"/>
      <c r="I51" s="155"/>
      <c r="J51" s="155"/>
      <c r="K51" s="156">
        <f t="shared" si="1"/>
        <v>0</v>
      </c>
      <c r="O51" s="157"/>
      <c r="P51" s="144" t="s">
        <v>176</v>
      </c>
    </row>
    <row r="52" spans="1:16" ht="15.75" x14ac:dyDescent="0.25">
      <c r="A52" t="str">
        <f>ENCAISSEMENTS!A11</f>
        <v>oui</v>
      </c>
      <c r="B52" s="134" t="str">
        <f>ENCAISSEMENTS!B11</f>
        <v>INSTALL 8</v>
      </c>
      <c r="C52" s="154">
        <f>ENCAISSEMENTS!C11</f>
        <v>0</v>
      </c>
      <c r="D52" s="103"/>
      <c r="E52" s="103"/>
      <c r="F52" s="103"/>
      <c r="G52" s="155"/>
      <c r="H52" s="155"/>
      <c r="I52" s="155"/>
      <c r="J52" s="155"/>
      <c r="K52" s="156">
        <f t="shared" si="1"/>
        <v>0</v>
      </c>
      <c r="O52" s="158"/>
      <c r="P52" s="144" t="s">
        <v>177</v>
      </c>
    </row>
    <row r="53" spans="1:16" ht="15.75" x14ac:dyDescent="0.25">
      <c r="A53" t="str">
        <f>ENCAISSEMENTS!A12</f>
        <v>oui</v>
      </c>
      <c r="B53" s="134" t="str">
        <f>ENCAISSEMENTS!B12</f>
        <v>INSTALL 9</v>
      </c>
      <c r="C53" s="154">
        <f>ENCAISSEMENTS!C12</f>
        <v>0</v>
      </c>
      <c r="D53" s="103"/>
      <c r="E53" s="103"/>
      <c r="F53" s="103"/>
      <c r="G53" s="155"/>
      <c r="H53" s="155"/>
      <c r="I53" s="155"/>
      <c r="J53" s="155"/>
      <c r="K53" s="156">
        <f t="shared" si="1"/>
        <v>0</v>
      </c>
      <c r="O53" s="158"/>
      <c r="P53" s="144" t="s">
        <v>178</v>
      </c>
    </row>
    <row r="54" spans="1:16" ht="15.75" x14ac:dyDescent="0.25">
      <c r="A54" t="str">
        <f>ENCAISSEMENTS!A13</f>
        <v>oui</v>
      </c>
      <c r="B54" s="134" t="str">
        <f>ENCAISSEMENTS!B13</f>
        <v>INSTALL 10</v>
      </c>
      <c r="C54" s="154">
        <f>ENCAISSEMENTS!C13</f>
        <v>0</v>
      </c>
      <c r="D54" s="103"/>
      <c r="E54" s="103"/>
      <c r="F54" s="103"/>
      <c r="G54" s="155"/>
      <c r="H54" s="155"/>
      <c r="I54" s="155"/>
      <c r="J54" s="155"/>
      <c r="K54" s="156">
        <f t="shared" si="1"/>
        <v>0</v>
      </c>
      <c r="O54" s="158"/>
      <c r="P54" s="144" t="s">
        <v>179</v>
      </c>
    </row>
    <row r="55" spans="1:16" ht="15.75" x14ac:dyDescent="0.25">
      <c r="A55" t="str">
        <f>ENCAISSEMENTS!A14</f>
        <v>oui</v>
      </c>
      <c r="B55" s="134" t="str">
        <f>ENCAISSEMENTS!B14</f>
        <v>INSTALL 11</v>
      </c>
      <c r="C55" s="154">
        <f>ENCAISSEMENTS!C14</f>
        <v>0</v>
      </c>
      <c r="D55" s="103"/>
      <c r="E55" s="103"/>
      <c r="F55" s="103"/>
      <c r="G55" s="155"/>
      <c r="H55" s="155"/>
      <c r="I55" s="155"/>
      <c r="J55" s="155"/>
      <c r="K55" s="156">
        <f t="shared" si="1"/>
        <v>0</v>
      </c>
      <c r="O55" s="158"/>
      <c r="P55" s="144" t="s">
        <v>180</v>
      </c>
    </row>
    <row r="56" spans="1:16" ht="15.75" x14ac:dyDescent="0.25">
      <c r="A56" t="str">
        <f>ENCAISSEMENTS!A15</f>
        <v>oui</v>
      </c>
      <c r="B56" s="134" t="str">
        <f>ENCAISSEMENTS!B15</f>
        <v>INSTALL 12</v>
      </c>
      <c r="C56" s="154">
        <f>ENCAISSEMENTS!C15</f>
        <v>0</v>
      </c>
      <c r="D56" s="103"/>
      <c r="E56" s="103"/>
      <c r="F56" s="103"/>
      <c r="G56" s="155"/>
      <c r="H56" s="155"/>
      <c r="I56" s="155"/>
      <c r="J56" s="155"/>
      <c r="K56" s="156">
        <f t="shared" si="1"/>
        <v>0</v>
      </c>
      <c r="O56" s="158"/>
      <c r="P56" s="144" t="s">
        <v>181</v>
      </c>
    </row>
    <row r="57" spans="1:16" ht="15.75" x14ac:dyDescent="0.25">
      <c r="A57" t="str">
        <f>ENCAISSEMENTS!A16</f>
        <v>oui</v>
      </c>
      <c r="B57" s="134" t="str">
        <f>ENCAISSEMENTS!B16</f>
        <v>INSTALL 13</v>
      </c>
      <c r="C57" s="154">
        <f>ENCAISSEMENTS!C16</f>
        <v>0</v>
      </c>
      <c r="D57" s="103"/>
      <c r="E57" s="103"/>
      <c r="F57" s="103"/>
      <c r="G57" s="155"/>
      <c r="H57" s="155"/>
      <c r="I57" s="155"/>
      <c r="J57" s="155"/>
      <c r="K57" s="156">
        <f t="shared" si="1"/>
        <v>0</v>
      </c>
      <c r="O57" s="159"/>
      <c r="P57" s="142" t="s">
        <v>182</v>
      </c>
    </row>
    <row r="58" spans="1:16" ht="15.75" x14ac:dyDescent="0.25">
      <c r="A58" t="str">
        <f>ENCAISSEMENTS!A17</f>
        <v>oui</v>
      </c>
      <c r="B58" s="134" t="str">
        <f>ENCAISSEMENTS!B17</f>
        <v>INSTALL 14</v>
      </c>
      <c r="C58" s="154">
        <f>ENCAISSEMENTS!C17</f>
        <v>0</v>
      </c>
      <c r="D58" s="103"/>
      <c r="E58" s="103"/>
      <c r="F58" s="103"/>
      <c r="G58" s="155"/>
      <c r="H58" s="155"/>
      <c r="I58" s="155"/>
      <c r="J58" s="155"/>
      <c r="K58" s="156">
        <f t="shared" si="1"/>
        <v>0</v>
      </c>
      <c r="O58" s="160" t="s">
        <v>183</v>
      </c>
      <c r="P58" s="144" t="s">
        <v>184</v>
      </c>
    </row>
    <row r="59" spans="1:16" ht="15.75" x14ac:dyDescent="0.25">
      <c r="A59" t="str">
        <f>ENCAISSEMENTS!A18</f>
        <v>oui</v>
      </c>
      <c r="B59" s="134" t="str">
        <f>ENCAISSEMENTS!B18</f>
        <v>INSTALL 15</v>
      </c>
      <c r="C59" s="154">
        <f>ENCAISSEMENTS!C18</f>
        <v>0</v>
      </c>
      <c r="D59" s="103"/>
      <c r="E59" s="103"/>
      <c r="F59" s="103"/>
      <c r="G59" s="155"/>
      <c r="H59" s="155"/>
      <c r="I59" s="155"/>
      <c r="J59" s="155"/>
      <c r="K59" s="156">
        <f t="shared" si="1"/>
        <v>0</v>
      </c>
      <c r="O59" s="141"/>
      <c r="P59" s="142" t="s">
        <v>185</v>
      </c>
    </row>
    <row r="60" spans="1:16" ht="15.75" x14ac:dyDescent="0.25">
      <c r="A60" t="str">
        <f>ENCAISSEMENTS!A19</f>
        <v>oui</v>
      </c>
      <c r="B60" s="134" t="str">
        <f>ENCAISSEMENTS!B19</f>
        <v>INSTALL 16</v>
      </c>
      <c r="C60" s="154">
        <f>ENCAISSEMENTS!C19</f>
        <v>0</v>
      </c>
      <c r="D60" s="103"/>
      <c r="E60" s="103"/>
      <c r="F60" s="103"/>
      <c r="G60" s="155"/>
      <c r="H60" s="155"/>
      <c r="I60" s="155"/>
      <c r="J60" s="155"/>
      <c r="K60" s="156">
        <f t="shared" si="1"/>
        <v>0</v>
      </c>
      <c r="O60" s="139" t="s">
        <v>163</v>
      </c>
      <c r="P60" s="140" t="s">
        <v>186</v>
      </c>
    </row>
    <row r="61" spans="1:16" ht="15.75" x14ac:dyDescent="0.25">
      <c r="A61" t="str">
        <f>ENCAISSEMENTS!A20</f>
        <v>oui</v>
      </c>
      <c r="B61" s="134" t="str">
        <f>ENCAISSEMENTS!B20</f>
        <v>INSTALL 17</v>
      </c>
      <c r="C61" s="154">
        <f>ENCAISSEMENTS!C20</f>
        <v>0</v>
      </c>
      <c r="D61" s="103"/>
      <c r="E61" s="103"/>
      <c r="F61" s="103"/>
      <c r="G61" s="155"/>
      <c r="H61" s="155"/>
      <c r="I61" s="155"/>
      <c r="J61" s="155"/>
      <c r="K61" s="156">
        <f t="shared" si="1"/>
        <v>0</v>
      </c>
      <c r="O61" s="141"/>
      <c r="P61" s="142" t="s">
        <v>187</v>
      </c>
    </row>
    <row r="62" spans="1:16" ht="15.75" x14ac:dyDescent="0.25">
      <c r="A62" t="str">
        <f>ENCAISSEMENTS!A21</f>
        <v>oui</v>
      </c>
      <c r="B62" s="134" t="str">
        <f>ENCAISSEMENTS!B21</f>
        <v>INSTALL 18</v>
      </c>
      <c r="C62" s="154">
        <f>ENCAISSEMENTS!C21</f>
        <v>0</v>
      </c>
      <c r="D62" s="103"/>
      <c r="E62" s="103"/>
      <c r="F62" s="103"/>
      <c r="G62" s="155"/>
      <c r="H62" s="155"/>
      <c r="I62" s="155"/>
      <c r="J62" s="155"/>
      <c r="K62" s="156">
        <f t="shared" si="1"/>
        <v>0</v>
      </c>
      <c r="O62" s="139" t="s">
        <v>164</v>
      </c>
      <c r="P62" s="140" t="s">
        <v>188</v>
      </c>
    </row>
    <row r="63" spans="1:16" ht="15.75" x14ac:dyDescent="0.25">
      <c r="A63" t="str">
        <f>ENCAISSEMENTS!A22</f>
        <v>oui</v>
      </c>
      <c r="B63" s="134" t="str">
        <f>ENCAISSEMENTS!B22</f>
        <v>INSTALL 19</v>
      </c>
      <c r="C63" s="154">
        <f>ENCAISSEMENTS!C22</f>
        <v>0</v>
      </c>
      <c r="D63" s="103"/>
      <c r="E63" s="103"/>
      <c r="F63" s="103"/>
      <c r="G63" s="155"/>
      <c r="H63" s="155"/>
      <c r="I63" s="155"/>
      <c r="J63" s="155"/>
      <c r="K63" s="156">
        <f t="shared" si="1"/>
        <v>0</v>
      </c>
      <c r="O63" s="141"/>
      <c r="P63" s="142" t="s">
        <v>189</v>
      </c>
    </row>
    <row r="64" spans="1:16" ht="15.75" x14ac:dyDescent="0.25">
      <c r="A64" t="str">
        <f>ENCAISSEMENTS!A23</f>
        <v>oui</v>
      </c>
      <c r="B64" s="134" t="str">
        <f>ENCAISSEMENTS!B23</f>
        <v>INSTALL 20</v>
      </c>
      <c r="C64" s="154">
        <f>ENCAISSEMENTS!C23</f>
        <v>0</v>
      </c>
      <c r="D64" s="103"/>
      <c r="E64" s="103"/>
      <c r="F64" s="103"/>
      <c r="G64" s="155"/>
      <c r="H64" s="155"/>
      <c r="I64" s="155"/>
      <c r="J64" s="155"/>
      <c r="K64" s="156">
        <f t="shared" si="1"/>
        <v>0</v>
      </c>
      <c r="O64" s="139" t="s">
        <v>190</v>
      </c>
      <c r="P64" s="140" t="s">
        <v>191</v>
      </c>
    </row>
    <row r="65" spans="1:16" ht="15.75" x14ac:dyDescent="0.25">
      <c r="A65" t="str">
        <f>ENCAISSEMENTS!A24</f>
        <v>oui</v>
      </c>
      <c r="B65" s="134" t="str">
        <f>ENCAISSEMENTS!B24</f>
        <v>INSTALL 21</v>
      </c>
      <c r="C65" s="154">
        <f>ENCAISSEMENTS!C24</f>
        <v>0</v>
      </c>
      <c r="D65" s="103"/>
      <c r="E65" s="103"/>
      <c r="F65" s="103"/>
      <c r="G65" s="155"/>
      <c r="H65" s="155"/>
      <c r="I65" s="155"/>
      <c r="J65" s="155"/>
      <c r="K65" s="156">
        <f t="shared" si="1"/>
        <v>0</v>
      </c>
      <c r="O65" s="141"/>
      <c r="P65" s="142" t="s">
        <v>192</v>
      </c>
    </row>
    <row r="66" spans="1:16" ht="15.75" x14ac:dyDescent="0.25">
      <c r="A66" t="str">
        <f>ENCAISSEMENTS!A25</f>
        <v>oui</v>
      </c>
      <c r="B66" s="134" t="str">
        <f>ENCAISSEMENTS!B25</f>
        <v>INSTALL 22</v>
      </c>
      <c r="C66" s="154">
        <f>ENCAISSEMENTS!C25</f>
        <v>0</v>
      </c>
      <c r="D66" s="103"/>
      <c r="E66" s="103"/>
      <c r="F66" s="103"/>
      <c r="G66" s="155"/>
      <c r="H66" s="155"/>
      <c r="I66" s="155"/>
      <c r="J66" s="155"/>
      <c r="K66" s="156">
        <f t="shared" si="1"/>
        <v>0</v>
      </c>
      <c r="O66" s="139" t="s">
        <v>193</v>
      </c>
      <c r="P66" s="140" t="s">
        <v>194</v>
      </c>
    </row>
    <row r="67" spans="1:16" ht="15.75" x14ac:dyDescent="0.25">
      <c r="A67" t="str">
        <f>ENCAISSEMENTS!A26</f>
        <v>oui</v>
      </c>
      <c r="B67" s="134" t="str">
        <f>ENCAISSEMENTS!B26</f>
        <v>INSTALL 23</v>
      </c>
      <c r="C67" s="154">
        <f>ENCAISSEMENTS!C26</f>
        <v>0</v>
      </c>
      <c r="D67" s="103"/>
      <c r="E67" s="103"/>
      <c r="F67" s="103"/>
      <c r="G67" s="155"/>
      <c r="H67" s="155"/>
      <c r="I67" s="155"/>
      <c r="J67" s="155"/>
      <c r="K67" s="156">
        <f t="shared" si="1"/>
        <v>0</v>
      </c>
      <c r="O67" s="159"/>
      <c r="P67" s="142"/>
    </row>
    <row r="68" spans="1:16" ht="15.75" x14ac:dyDescent="0.25">
      <c r="A68" t="str">
        <f>ENCAISSEMENTS!A27</f>
        <v>oui</v>
      </c>
      <c r="B68" s="134" t="str">
        <f>ENCAISSEMENTS!B27</f>
        <v>INSTALL 24</v>
      </c>
      <c r="C68" s="154">
        <f>ENCAISSEMENTS!C27</f>
        <v>0</v>
      </c>
      <c r="D68" s="103"/>
      <c r="E68" s="103"/>
      <c r="F68" s="103"/>
      <c r="G68" s="155"/>
      <c r="H68" s="155"/>
      <c r="I68" s="155"/>
      <c r="J68" s="155"/>
      <c r="K68" s="156">
        <f t="shared" si="1"/>
        <v>0</v>
      </c>
    </row>
    <row r="69" spans="1:16" ht="15.75" x14ac:dyDescent="0.25">
      <c r="A69" t="str">
        <f>ENCAISSEMENTS!A28</f>
        <v>oui</v>
      </c>
      <c r="B69" s="134" t="str">
        <f>ENCAISSEMENTS!B28</f>
        <v>INSTALL 25</v>
      </c>
      <c r="C69" s="154">
        <f>ENCAISSEMENTS!C28</f>
        <v>0</v>
      </c>
      <c r="D69" s="103"/>
      <c r="E69" s="103"/>
      <c r="F69" s="103"/>
      <c r="G69" s="155"/>
      <c r="H69" s="155"/>
      <c r="I69" s="155"/>
      <c r="J69" s="155"/>
      <c r="K69" s="156">
        <f t="shared" si="1"/>
        <v>0</v>
      </c>
    </row>
    <row r="70" spans="1:16" ht="15.75" x14ac:dyDescent="0.25">
      <c r="A70" t="str">
        <f>ENCAISSEMENTS!A29</f>
        <v>oui</v>
      </c>
      <c r="B70" s="134" t="str">
        <f>ENCAISSEMENTS!B29</f>
        <v>INSTALL 26</v>
      </c>
      <c r="C70" s="154">
        <f>ENCAISSEMENTS!C29</f>
        <v>0</v>
      </c>
      <c r="D70" s="103"/>
      <c r="E70" s="103"/>
      <c r="F70" s="103"/>
      <c r="G70" s="155"/>
      <c r="H70" s="155"/>
      <c r="I70" s="155"/>
      <c r="J70" s="155"/>
      <c r="K70" s="156">
        <f t="shared" si="1"/>
        <v>0</v>
      </c>
    </row>
    <row r="71" spans="1:16" ht="15.75" x14ac:dyDescent="0.25">
      <c r="A71" t="str">
        <f>ENCAISSEMENTS!A30</f>
        <v>oui</v>
      </c>
      <c r="B71" s="134" t="str">
        <f>ENCAISSEMENTS!B30</f>
        <v>INSTALL 27</v>
      </c>
      <c r="C71" s="154">
        <f>ENCAISSEMENTS!C30</f>
        <v>0</v>
      </c>
      <c r="D71" s="103"/>
      <c r="E71" s="103"/>
      <c r="F71" s="103"/>
      <c r="G71" s="155"/>
      <c r="H71" s="155"/>
      <c r="I71" s="155"/>
      <c r="J71" s="155"/>
      <c r="K71" s="156">
        <f t="shared" si="1"/>
        <v>0</v>
      </c>
    </row>
    <row r="72" spans="1:16" ht="15.75" x14ac:dyDescent="0.25">
      <c r="A72" t="str">
        <f>ENCAISSEMENTS!A31</f>
        <v>oui</v>
      </c>
      <c r="B72" s="134" t="str">
        <f>ENCAISSEMENTS!B31</f>
        <v>INSTALL 28</v>
      </c>
      <c r="C72" s="154">
        <f>ENCAISSEMENTS!C31</f>
        <v>0</v>
      </c>
      <c r="D72" s="103"/>
      <c r="E72" s="103"/>
      <c r="F72" s="103"/>
      <c r="G72" s="155"/>
      <c r="H72" s="155"/>
      <c r="I72" s="155"/>
      <c r="J72" s="155"/>
      <c r="K72" s="156">
        <f t="shared" si="1"/>
        <v>0</v>
      </c>
    </row>
    <row r="73" spans="1:16" ht="15.75" x14ac:dyDescent="0.25">
      <c r="A73" t="str">
        <f>ENCAISSEMENTS!A32</f>
        <v>oui</v>
      </c>
      <c r="B73" s="134" t="str">
        <f>ENCAISSEMENTS!B32</f>
        <v>INSTALL 29</v>
      </c>
      <c r="C73" s="154">
        <f>ENCAISSEMENTS!C32</f>
        <v>0</v>
      </c>
      <c r="D73" s="103"/>
      <c r="E73" s="103"/>
      <c r="F73" s="103"/>
      <c r="G73" s="155"/>
      <c r="H73" s="155"/>
      <c r="I73" s="155"/>
      <c r="J73" s="155"/>
      <c r="K73" s="156">
        <f t="shared" si="1"/>
        <v>0</v>
      </c>
    </row>
    <row r="74" spans="1:16" ht="15.75" x14ac:dyDescent="0.25">
      <c r="A74" t="str">
        <f>ENCAISSEMENTS!A33</f>
        <v>oui</v>
      </c>
      <c r="B74" s="134" t="str">
        <f>ENCAISSEMENTS!B33</f>
        <v>INSTALL 30</v>
      </c>
      <c r="C74" s="154">
        <f>ENCAISSEMENTS!C33</f>
        <v>0</v>
      </c>
      <c r="D74" s="103"/>
      <c r="E74" s="103"/>
      <c r="F74" s="103"/>
      <c r="G74" s="155"/>
      <c r="H74" s="155"/>
      <c r="I74" s="155"/>
      <c r="J74" s="155"/>
      <c r="K74" s="156">
        <f t="shared" si="1"/>
        <v>0</v>
      </c>
    </row>
    <row r="75" spans="1:16" ht="15.75" x14ac:dyDescent="0.25">
      <c r="A75" t="str">
        <f>ENCAISSEMENTS!A34</f>
        <v>oui</v>
      </c>
      <c r="B75" s="134" t="str">
        <f>ENCAISSEMENTS!B34</f>
        <v>INSTALL 31</v>
      </c>
      <c r="C75" s="154">
        <f>ENCAISSEMENTS!C34</f>
        <v>0</v>
      </c>
      <c r="D75" s="103"/>
      <c r="E75" s="103"/>
      <c r="F75" s="103"/>
      <c r="G75" s="155"/>
      <c r="H75" s="155"/>
      <c r="I75" s="155"/>
      <c r="J75" s="155"/>
      <c r="K75" s="156">
        <f t="shared" si="1"/>
        <v>0</v>
      </c>
    </row>
    <row r="76" spans="1:16" ht="15.75" x14ac:dyDescent="0.25">
      <c r="A76" t="str">
        <f>ENCAISSEMENTS!A35</f>
        <v>oui</v>
      </c>
      <c r="B76" s="134" t="str">
        <f>ENCAISSEMENTS!B35</f>
        <v>INSTALL 32</v>
      </c>
      <c r="C76" s="154">
        <f>ENCAISSEMENTS!C35</f>
        <v>0</v>
      </c>
      <c r="D76" s="103"/>
      <c r="E76" s="103"/>
      <c r="F76" s="103"/>
      <c r="G76" s="155"/>
      <c r="H76" s="155"/>
      <c r="I76" s="155"/>
      <c r="J76" s="155"/>
      <c r="K76" s="156">
        <f t="shared" si="1"/>
        <v>0</v>
      </c>
    </row>
    <row r="77" spans="1:16" ht="15.75" x14ac:dyDescent="0.25">
      <c r="A77" t="str">
        <f>ENCAISSEMENTS!A36</f>
        <v>oui</v>
      </c>
      <c r="B77" s="134" t="str">
        <f>ENCAISSEMENTS!B36</f>
        <v>INSTALL 33</v>
      </c>
      <c r="C77" s="154">
        <f>ENCAISSEMENTS!C36</f>
        <v>0</v>
      </c>
      <c r="D77" s="103"/>
      <c r="E77" s="103"/>
      <c r="F77" s="103"/>
      <c r="G77" s="155"/>
      <c r="H77" s="155"/>
      <c r="I77" s="155"/>
      <c r="J77" s="155"/>
      <c r="K77" s="156">
        <f t="shared" si="1"/>
        <v>0</v>
      </c>
    </row>
    <row r="78" spans="1:16" ht="15.75" x14ac:dyDescent="0.25">
      <c r="A78" t="str">
        <f>ENCAISSEMENTS!A37</f>
        <v>oui</v>
      </c>
      <c r="B78" s="134" t="str">
        <f>ENCAISSEMENTS!B37</f>
        <v>INSTALL 34</v>
      </c>
      <c r="C78" s="154">
        <f>ENCAISSEMENTS!C37</f>
        <v>0</v>
      </c>
      <c r="D78" s="103"/>
      <c r="E78" s="103"/>
      <c r="F78" s="103"/>
      <c r="G78" s="155"/>
      <c r="H78" s="155"/>
      <c r="I78" s="155"/>
      <c r="J78" s="155"/>
      <c r="K78" s="156">
        <f t="shared" si="1"/>
        <v>0</v>
      </c>
    </row>
    <row r="79" spans="1:16" ht="15.75" x14ac:dyDescent="0.25">
      <c r="A79" t="str">
        <f>ENCAISSEMENTS!A38</f>
        <v>oui</v>
      </c>
      <c r="B79" s="161" t="str">
        <f>ENCAISSEMENTS!B38</f>
        <v>INSTALL 35</v>
      </c>
      <c r="C79" s="154">
        <f>ENCAISSEMENTS!C38</f>
        <v>0</v>
      </c>
      <c r="D79" s="103"/>
      <c r="E79" s="103"/>
      <c r="F79" s="103"/>
      <c r="G79" s="155"/>
      <c r="H79" s="155"/>
      <c r="I79" s="155"/>
      <c r="J79" s="155"/>
      <c r="K79" s="162">
        <f t="shared" si="1"/>
        <v>0</v>
      </c>
    </row>
    <row r="80" spans="1:16" ht="18.75" x14ac:dyDescent="0.3">
      <c r="A80" s="168" t="s">
        <v>156</v>
      </c>
      <c r="B80" s="168"/>
      <c r="C80" s="148">
        <f>SUMPRODUCT(C45:C79,ENCAISSEMENTS!$N$4:$N$38)</f>
        <v>534</v>
      </c>
      <c r="D80" s="148">
        <f>SUMPRODUCT(D45:D79,ENCAISSEMENTS!$N$4:$N$38)</f>
        <v>900</v>
      </c>
      <c r="E80" s="148">
        <f>SUMPRODUCT(E45:E79,ENCAISSEMENTS!$N$4:$N$38)</f>
        <v>600</v>
      </c>
      <c r="F80" s="148">
        <f>SUMPRODUCT(F45:F79,ENCAISSEMENTS!$N$4:$N$38)</f>
        <v>600</v>
      </c>
      <c r="G80" s="148">
        <f>SUMPRODUCT(G45:G79,ENCAISSEMENTS!$N$4:$N$38)</f>
        <v>105</v>
      </c>
      <c r="H80" s="148">
        <f>SUMPRODUCT(H45:H79,ENCAISSEMENTS!$N$4:$N$38)</f>
        <v>390</v>
      </c>
      <c r="I80" s="148">
        <f>SUMPRODUCT(I45:I79,ENCAISSEMENTS!$N$4:$N$38)</f>
        <v>60</v>
      </c>
      <c r="J80" s="148">
        <f>SUMPRODUCT(J45:J79,ENCAISSEMENTS!$N$4:$N$38)</f>
        <v>300</v>
      </c>
      <c r="K80" s="163">
        <f t="shared" si="1"/>
        <v>2955</v>
      </c>
    </row>
    <row r="81" spans="2:17" ht="15" x14ac:dyDescent="0.25">
      <c r="Q81" s="141"/>
    </row>
    <row r="82" spans="2:17" ht="26.25" x14ac:dyDescent="0.4">
      <c r="B82" s="167" t="s">
        <v>195</v>
      </c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</row>
    <row r="84" spans="2:17" ht="15" x14ac:dyDescent="0.25">
      <c r="B84" s="134" t="s">
        <v>196</v>
      </c>
      <c r="C84" s="164" t="s">
        <v>197</v>
      </c>
      <c r="D84" s="79"/>
      <c r="E84" s="165"/>
      <c r="G84" t="s">
        <v>198</v>
      </c>
    </row>
    <row r="85" spans="2:17" ht="15" x14ac:dyDescent="0.25">
      <c r="B85" s="134" t="s">
        <v>196</v>
      </c>
      <c r="C85" s="164" t="s">
        <v>199</v>
      </c>
      <c r="D85" s="79"/>
      <c r="E85" s="165"/>
      <c r="G85" t="s">
        <v>200</v>
      </c>
    </row>
    <row r="86" spans="2:17" ht="15" x14ac:dyDescent="0.25">
      <c r="B86" s="134" t="s">
        <v>201</v>
      </c>
      <c r="C86" s="164" t="s">
        <v>202</v>
      </c>
      <c r="D86" s="79"/>
      <c r="E86" s="165"/>
      <c r="G86" t="s">
        <v>203</v>
      </c>
    </row>
    <row r="87" spans="2:17" ht="15" x14ac:dyDescent="0.25">
      <c r="B87" s="134" t="s">
        <v>204</v>
      </c>
      <c r="C87" s="164" t="s">
        <v>205</v>
      </c>
      <c r="D87" s="79"/>
      <c r="E87" s="165"/>
      <c r="G87" t="s">
        <v>206</v>
      </c>
    </row>
    <row r="89" spans="2:17" ht="15" x14ac:dyDescent="0.25">
      <c r="B89" s="166"/>
      <c r="C89" s="166"/>
      <c r="D89" s="166"/>
      <c r="E89" s="166"/>
      <c r="F89" s="166"/>
      <c r="G89" s="166"/>
      <c r="H89" s="166"/>
    </row>
  </sheetData>
  <mergeCells count="5">
    <mergeCell ref="B1:M1"/>
    <mergeCell ref="A39:B39"/>
    <mergeCell ref="B42:M42"/>
    <mergeCell ref="A80:B80"/>
    <mergeCell ref="B82:M82"/>
  </mergeCells>
  <conditionalFormatting sqref="A5:A38">
    <cfRule type="cellIs" dxfId="2" priority="3" stopIfTrue="1" operator="equal">
      <formula>"Oui"</formula>
    </cfRule>
  </conditionalFormatting>
  <conditionalFormatting sqref="A4">
    <cfRule type="cellIs" dxfId="1" priority="2" stopIfTrue="1" operator="equal">
      <formula>"Oui"</formula>
    </cfRule>
  </conditionalFormatting>
  <conditionalFormatting sqref="A1:A3 A40:A79 A81:A1048576">
    <cfRule type="cellIs" dxfId="0" priority="1" stopIfTrue="1" operator="equal">
      <formula>"oui"</formula>
    </cfRule>
  </conditionalFormatting>
  <printOptions horizontalCentered="1" verticalCentered="1"/>
  <pageMargins left="0.47204724409448823" right="0.39370078740157477" top="1.1417322834645669" bottom="1.1417322834645669" header="0.74803149606299213" footer="0.74803149606299213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revision>3</cp:revision>
  <cp:lastPrinted>2015-07-06T14:54:07Z</cp:lastPrinted>
  <dcterms:created xsi:type="dcterms:W3CDTF">2012-12-14T09:34:10Z</dcterms:created>
  <dcterms:modified xsi:type="dcterms:W3CDTF">2019-09-16T08:42:42Z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