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M" sheetId="1" r:id="rId4"/>
    <sheet state="visible" name="Feuil1" sheetId="2" r:id="rId5"/>
    <sheet state="visible" name="Avancé" sheetId="3" r:id="rId6"/>
  </sheets>
  <definedNames>
    <definedName name="Total_Capital">TAM!$P$6</definedName>
    <definedName name="Nombre_échéances">TAM!$P$4</definedName>
    <definedName name="FraisV">TAM!$M$4</definedName>
    <definedName name="MtEch">TAM!$D$8</definedName>
    <definedName name="CAP1E">TAM!$S$6</definedName>
    <definedName name="Différé">TAM!$V$8</definedName>
    <definedName name="Changement_de_taux">TAM!$B$15:$B$315</definedName>
    <definedName name="EchFIXE">TAM!$S$2</definedName>
    <definedName name="Total_Frais">TAM!$P$7</definedName>
    <definedName name="TauxActuariel">TAM!$V$3</definedName>
    <definedName name="NoEchMaxi">TAM!$S$3</definedName>
    <definedName name="Imois">TAM!$T$5</definedName>
    <definedName name="Jour1">TAM!$T$7</definedName>
    <definedName name="Cout_Total">TAM!$P$8</definedName>
    <definedName name="Ijour">TAM!$T$6</definedName>
    <definedName name="MtEmprunt">TAM!$V$12</definedName>
    <definedName name="NbEch">TAM!$T$2</definedName>
    <definedName name="DATDB">TAM!$S$7</definedName>
    <definedName name="INT1E">TAM!$S$5</definedName>
    <definedName name="Jour2">TAM!$T$8</definedName>
    <definedName name="DebAmort">TAM!$F$6</definedName>
    <definedName name="NoEchRemb">TAM!$S$4</definedName>
    <definedName name="FraisF">TAM!$M$3</definedName>
    <definedName name="TVDebit">TAM!$B$2:$B$8</definedName>
    <definedName name="TxPer">TAM!$T$4</definedName>
    <definedName name="NbDeci">TAM!$S$1</definedName>
    <definedName name="MoisD">TAM!$T$9</definedName>
    <definedName name="DiffTotal">TAM!$V$7</definedName>
    <definedName name="Periodicite">TAM!$W$10</definedName>
    <definedName name="DiffSimple">TAM!$V$6</definedName>
    <definedName name="Total_Intérêts">TAM!$P$5</definedName>
    <definedName name="NbEchAn">TAM!$T$1</definedName>
    <definedName hidden="1" localSheetId="0" name="_xlnm._FilterDatabase">TAM!$J$13:$J$447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S1">
      <text>
        <t xml:space="preserve">Nombre de décimales de la monnaie</t>
      </text>
    </comment>
    <comment authorId="0" ref="S2">
      <text>
        <t xml:space="preserve">Remboursement des échéances constantes
</t>
      </text>
    </comment>
    <comment authorId="0" ref="S3">
      <text>
        <t xml:space="preserve">Nombre échéance maxi
</t>
      </text>
    </comment>
    <comment authorId="0" ref="S4">
      <text>
        <t xml:space="preserve">N° échéance de remboursement</t>
      </text>
    </comment>
    <comment authorId="0" ref="S5">
      <text>
        <t xml:space="preserve">Intérêts 1° échéance</t>
      </text>
    </comment>
    <comment authorId="0" ref="S6">
      <text>
        <t xml:space="preserve">Capital 1° échéance</t>
      </text>
    </comment>
    <comment authorId="0" ref="V6">
      <text>
        <t xml:space="preserve">Différé SIMPLE</t>
      </text>
    </comment>
    <comment authorId="0" ref="S7">
      <text>
        <t xml:space="preserve">Date déblocage</t>
      </text>
    </comment>
    <comment authorId="0" ref="V7">
      <text>
        <t xml:space="preserve">Différé Global</t>
      </text>
    </comment>
  </commentList>
</comments>
</file>

<file path=xl/sharedStrings.xml><?xml version="1.0" encoding="utf-8"?>
<sst xmlns="http://schemas.openxmlformats.org/spreadsheetml/2006/main" count="90" uniqueCount="85">
  <si>
    <t>Nombre échéance par an</t>
  </si>
  <si>
    <t>Type Taux</t>
  </si>
  <si>
    <t>Periodicité</t>
  </si>
  <si>
    <t>Caractéristiques</t>
  </si>
  <si>
    <t>Frais</t>
  </si>
  <si>
    <t>Récapitulatif</t>
  </si>
  <si>
    <t>Nombre échéance total</t>
  </si>
  <si>
    <t>Montant emprunté :</t>
  </si>
  <si>
    <t>durée :</t>
  </si>
  <si>
    <t>ans</t>
  </si>
  <si>
    <t>Frais Fixe (ADI) / ech</t>
  </si>
  <si>
    <t>Date dernière échéance</t>
  </si>
  <si>
    <t>Durée totale (en mois)</t>
  </si>
  <si>
    <t>Mensuel</t>
  </si>
  <si>
    <t>et</t>
  </si>
  <si>
    <t>mois</t>
  </si>
  <si>
    <t>Frais variable (en %CRD)</t>
  </si>
  <si>
    <t>Nombre échéances</t>
  </si>
  <si>
    <t>Taux période</t>
  </si>
  <si>
    <t>Différé</t>
  </si>
  <si>
    <t>Trimestriel</t>
  </si>
  <si>
    <t>Taux annuel :</t>
  </si>
  <si>
    <t>1° échéance :</t>
  </si>
  <si>
    <t>Périodicité :</t>
  </si>
  <si>
    <t>Total Intérêts</t>
  </si>
  <si>
    <t>IntervalMois</t>
  </si>
  <si>
    <t>Semestriel</t>
  </si>
  <si>
    <t>Total Capital</t>
  </si>
  <si>
    <t>IntervalJour</t>
  </si>
  <si>
    <t>Annuel</t>
  </si>
  <si>
    <t>Nombre de mois différé</t>
  </si>
  <si>
    <t>Total Frais</t>
  </si>
  <si>
    <t>J1</t>
  </si>
  <si>
    <t>Hebdomadaire</t>
  </si>
  <si>
    <t>Déblocage initial</t>
  </si>
  <si>
    <t>Coût total crédit</t>
  </si>
  <si>
    <t>J2</t>
  </si>
  <si>
    <t>Quinzaine</t>
  </si>
  <si>
    <t>M1</t>
  </si>
  <si>
    <t>MtEmprunt</t>
  </si>
  <si>
    <t>Bimensuel</t>
  </si>
  <si>
    <t>Opération</t>
  </si>
  <si>
    <t>Tableau d'amortissement</t>
  </si>
  <si>
    <t>Données recalcul</t>
  </si>
  <si>
    <t>Reste sur initial</t>
  </si>
  <si>
    <t>Date 
Échéance</t>
  </si>
  <si>
    <t>Capital restant dû</t>
  </si>
  <si>
    <t>Intérêts
payés</t>
  </si>
  <si>
    <t>Capital  remboursé</t>
  </si>
  <si>
    <t>Montant 
des Frais</t>
  </si>
  <si>
    <t>Total 
payé</t>
  </si>
  <si>
    <t>Montant échéance</t>
  </si>
  <si>
    <t>Nouveau Taux</t>
  </si>
  <si>
    <t>Capital remboursé</t>
  </si>
  <si>
    <t>Nouveau Nb d'échéance</t>
  </si>
  <si>
    <t>Nouvelle échéance</t>
  </si>
  <si>
    <t>Frais opération</t>
  </si>
  <si>
    <t>N°</t>
  </si>
  <si>
    <t>Année</t>
  </si>
  <si>
    <t>Ech</t>
  </si>
  <si>
    <t>Total / filtrage</t>
  </si>
  <si>
    <t>Compte a terme</t>
  </si>
  <si>
    <t>Taux</t>
  </si>
  <si>
    <t>Durée max</t>
  </si>
  <si>
    <t>Colonne</t>
  </si>
  <si>
    <t>Décimalisation de la monnaie</t>
  </si>
  <si>
    <t>Non</t>
  </si>
  <si>
    <t>Nombre de décimales</t>
  </si>
  <si>
    <t>Verouillé</t>
  </si>
  <si>
    <t>(A CACHER)</t>
  </si>
  <si>
    <t>Type d'amortissement</t>
  </si>
  <si>
    <t>Limitation de l'amortissement</t>
  </si>
  <si>
    <t>à</t>
  </si>
  <si>
    <t>an(s)  et / ou</t>
  </si>
  <si>
    <t>Calcul première échéance</t>
  </si>
  <si>
    <t>Date première échéance :</t>
  </si>
  <si>
    <t>Date déblocage théorique :</t>
  </si>
  <si>
    <t>Date déblocage réel :</t>
  </si>
  <si>
    <t>-1-</t>
  </si>
  <si>
    <t>-2-</t>
  </si>
  <si>
    <t>-3-</t>
  </si>
  <si>
    <t>Date déblocage fonds :</t>
  </si>
  <si>
    <t>Montant des Intérêts :</t>
  </si>
  <si>
    <t>Montant du capital :</t>
  </si>
  <si>
    <t>Total échéance (hors frais) 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</si>
</sst>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1">
    <numFmt numFmtId="164" formatCode="0.000%"/>
    <numFmt numFmtId="165" formatCode="0.000000%"/>
    <numFmt numFmtId="166" formatCode="#,##0.00;\-#,##0.00;\-"/>
    <numFmt numFmtId="167" formatCode="D/M/YYYY"/>
    <numFmt numFmtId="168" formatCode="0.0"/>
    <numFmt numFmtId="169" formatCode="#,##0.00;\-#,##0.00;\-\ "/>
    <numFmt numFmtId="170" formatCode="#"/>
    <numFmt numFmtId="171" formatCode="0.0%"/>
    <numFmt numFmtId="172" formatCode="#,##0.00;\-#,##0.00;&quot;&quot;"/>
    <numFmt numFmtId="173" formatCode=".000000%"/>
    <numFmt numFmtId="174" formatCode="#,##0.00_ ;\-#,##0.00\ "/>
  </numFmts>
  <fonts count="22">
    <font>
      <sz val="10.0"/>
      <color rgb="FF000000"/>
      <name val="Arial"/>
      <scheme val="minor"/>
    </font>
    <font>
      <sz val="10.0"/>
      <color theme="1"/>
      <name val="Arial"/>
    </font>
    <font>
      <sz val="9.0"/>
      <color theme="1"/>
      <name val="Arial"/>
    </font>
    <font>
      <u/>
      <sz val="10.0"/>
      <color rgb="FF0000FF"/>
      <name val="Arial"/>
    </font>
    <font>
      <u/>
      <sz val="9.0"/>
      <color rgb="FF0000FF"/>
      <name val="Arial"/>
    </font>
    <font>
      <sz val="9.0"/>
      <color rgb="FF666699"/>
      <name val="Arial"/>
    </font>
    <font>
      <sz val="6.0"/>
      <color rgb="FF969696"/>
      <name val="Arial"/>
    </font>
    <font>
      <b/>
      <sz val="10.0"/>
      <color theme="1"/>
      <name val="Arial"/>
    </font>
    <font>
      <sz val="10.0"/>
      <color rgb="FFFFFFFF"/>
      <name val="Arial"/>
    </font>
    <font>
      <b/>
      <sz val="10.0"/>
      <color rgb="FFFFFFFF"/>
      <name val="Arial"/>
    </font>
    <font/>
    <font>
      <sz val="8.0"/>
      <color rgb="FF969696"/>
      <name val="Arial"/>
    </font>
    <font>
      <sz val="8.0"/>
      <color theme="1"/>
      <name val="Arial"/>
    </font>
    <font>
      <b/>
      <sz val="8.0"/>
      <color rgb="FFFFFFFF"/>
      <name val="Arial"/>
    </font>
    <font>
      <b/>
      <sz val="8.0"/>
      <color theme="1"/>
      <name val="Arial"/>
    </font>
    <font>
      <sz val="9.0"/>
      <color rgb="FFFFFFFF"/>
      <name val="Arial"/>
    </font>
    <font>
      <color theme="1"/>
      <name val="Arial"/>
      <scheme val="minor"/>
    </font>
    <font>
      <b/>
      <sz val="10.0"/>
      <color rgb="FFC0C0C0"/>
      <name val="Arial"/>
    </font>
    <font>
      <sz val="10.0"/>
      <color rgb="FFC0C0C0"/>
      <name val="Arial"/>
    </font>
    <font>
      <sz val="10.0"/>
      <color rgb="FF969696"/>
      <name val="Arial"/>
    </font>
    <font>
      <sz val="10.0"/>
      <color rgb="FF333333"/>
      <name val="Arial"/>
    </font>
    <font>
      <sz val="10.0"/>
      <color rgb="FF808080"/>
      <name val="Arial"/>
    </font>
  </fonts>
  <fills count="10">
    <fill>
      <patternFill patternType="none"/>
    </fill>
    <fill>
      <patternFill patternType="lightGray"/>
    </fill>
    <fill>
      <patternFill patternType="solid">
        <fgColor rgb="FFCCFFFF"/>
        <bgColor rgb="FFCCFFFF"/>
      </patternFill>
    </fill>
    <fill>
      <patternFill patternType="solid">
        <fgColor rgb="FF666699"/>
        <bgColor rgb="FF666699"/>
      </patternFill>
    </fill>
    <fill>
      <patternFill patternType="solid">
        <fgColor rgb="FFCCCCFF"/>
        <bgColor rgb="FFCCCCFF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rgb="FFCCFFCC"/>
      </patternFill>
    </fill>
    <fill>
      <patternFill patternType="solid">
        <fgColor rgb="FFFFFF99"/>
        <bgColor rgb="FFFFFF99"/>
      </patternFill>
    </fill>
    <fill>
      <patternFill patternType="solid">
        <fgColor rgb="FFC0C0C0"/>
        <bgColor rgb="FFC0C0C0"/>
      </patternFill>
    </fill>
    <fill>
      <patternFill patternType="solid">
        <fgColor rgb="FF808080"/>
        <bgColor rgb="FF808080"/>
      </patternFill>
    </fill>
  </fills>
  <borders count="92">
    <border/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666699"/>
      </left>
      <right/>
      <top style="medium">
        <color rgb="FF666699"/>
      </top>
      <bottom/>
    </border>
    <border>
      <left/>
      <right/>
      <top style="medium">
        <color rgb="FF666699"/>
      </top>
      <bottom/>
    </border>
    <border>
      <left/>
      <right style="medium">
        <color rgb="FF666699"/>
      </right>
      <top style="medium">
        <color rgb="FF666699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666699"/>
      </left>
      <right/>
      <top/>
      <bottom/>
    </border>
    <border>
      <left/>
      <right/>
      <top/>
      <bottom/>
    </border>
    <border>
      <left style="thin">
        <color rgb="FF666699"/>
      </left>
      <right style="thin">
        <color rgb="FF666699"/>
      </right>
      <top style="thin">
        <color rgb="FF666699"/>
      </top>
      <bottom style="thin">
        <color rgb="FF666699"/>
      </bottom>
    </border>
    <border>
      <left/>
      <right style="medium">
        <color rgb="FF666699"/>
      </right>
      <top/>
      <bottom/>
    </border>
    <border>
      <left style="thin">
        <color rgb="FF666699"/>
      </left>
      <right style="medium">
        <color rgb="FF666699"/>
      </right>
      <top style="thin">
        <color rgb="FF666699"/>
      </top>
      <bottom style="thin">
        <color rgb="FF666699"/>
      </bottom>
    </border>
    <border>
      <left style="medium">
        <color rgb="FF666699"/>
      </left>
      <top/>
      <bottom/>
    </border>
    <border>
      <right/>
      <top/>
      <bottom/>
    </border>
    <border>
      <left style="medium">
        <color rgb="FF666699"/>
      </left>
      <right/>
      <top/>
      <bottom style="medium">
        <color rgb="FF666699"/>
      </bottom>
    </border>
    <border>
      <left/>
      <right/>
      <top/>
      <bottom style="medium">
        <color rgb="FF666699"/>
      </bottom>
    </border>
    <border>
      <left style="thin">
        <color rgb="FF666699"/>
      </left>
      <right style="medium">
        <color rgb="FF666699"/>
      </right>
      <top style="thin">
        <color rgb="FF666699"/>
      </top>
      <bottom style="medium">
        <color rgb="FF666699"/>
      </bottom>
    </border>
    <border>
      <left/>
      <right/>
      <top/>
      <bottom style="thin">
        <color rgb="FF666699"/>
      </bottom>
    </border>
    <border>
      <left/>
      <right style="medium">
        <color rgb="FF666699"/>
      </right>
      <top/>
      <bottom style="medium">
        <color rgb="FF666699"/>
      </bottom>
    </border>
    <border>
      <left style="medium">
        <color rgb="FF666699"/>
      </left>
      <top/>
      <bottom style="medium">
        <color rgb="FF666699"/>
      </bottom>
    </border>
    <border>
      <right/>
      <top/>
      <bottom style="medium">
        <color rgb="FF666699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666699"/>
      </left>
      <top style="medium">
        <color rgb="FF666699"/>
      </top>
      <bottom style="medium">
        <color rgb="FF666699"/>
      </bottom>
    </border>
    <border>
      <top style="medium">
        <color rgb="FF666699"/>
      </top>
      <bottom style="medium">
        <color rgb="FF666699"/>
      </bottom>
    </border>
    <border>
      <right style="medium">
        <color rgb="FF666699"/>
      </right>
      <top style="medium">
        <color rgb="FF666699"/>
      </top>
      <bottom style="medium">
        <color rgb="FF666699"/>
      </bottom>
    </border>
    <border>
      <left style="medium">
        <color rgb="FF666699"/>
      </left>
      <right style="hair">
        <color rgb="FF008000"/>
      </right>
      <top style="medium">
        <color rgb="FF666699"/>
      </top>
      <bottom/>
    </border>
    <border>
      <left style="hair">
        <color rgb="FF008000"/>
      </left>
      <right style="hair">
        <color rgb="FF008000"/>
      </right>
      <top style="medium">
        <color rgb="FF666699"/>
      </top>
      <bottom/>
    </border>
    <border>
      <left style="hair">
        <color rgb="FF008000"/>
      </left>
      <right style="medium">
        <color rgb="FF666699"/>
      </right>
      <top style="medium">
        <color rgb="FF666699"/>
      </top>
      <bottom/>
    </border>
    <border>
      <left/>
      <right/>
      <top style="medium">
        <color rgb="FF666699"/>
      </top>
    </border>
    <border>
      <left/>
      <right style="thin">
        <color rgb="FF666699"/>
      </right>
      <top style="medium">
        <color rgb="FF666699"/>
      </top>
    </border>
    <border>
      <left style="thin">
        <color rgb="FF666699"/>
      </left>
      <right/>
      <top style="medium">
        <color rgb="FF666699"/>
      </top>
    </border>
    <border>
      <left style="thin">
        <color rgb="FF666699"/>
      </left>
      <right style="medium">
        <color rgb="FF666699"/>
      </right>
      <top style="medium">
        <color rgb="FF666699"/>
      </top>
    </border>
    <border>
      <left style="medium">
        <color rgb="FF666699"/>
      </left>
      <right/>
      <top style="medium">
        <color rgb="FF666699"/>
      </top>
    </border>
    <border>
      <left/>
      <right style="medium">
        <color rgb="FF666699"/>
      </right>
      <top style="medium">
        <color rgb="FF666699"/>
      </top>
    </border>
    <border>
      <left style="medium">
        <color rgb="FF666699"/>
      </left>
      <right style="hair">
        <color rgb="FF008000"/>
      </right>
      <top/>
    </border>
    <border>
      <left style="hair">
        <color rgb="FF008000"/>
      </left>
      <right style="hair">
        <color rgb="FF008000"/>
      </right>
      <top/>
    </border>
    <border>
      <left style="hair">
        <color rgb="FF008000"/>
      </left>
      <right style="medium">
        <color rgb="FF666699"/>
      </right>
      <top/>
    </border>
    <border>
      <left/>
      <right/>
    </border>
    <border>
      <left/>
      <right style="thin">
        <color rgb="FF666699"/>
      </right>
    </border>
    <border>
      <left style="thin">
        <color rgb="FF666699"/>
      </left>
      <right/>
    </border>
    <border>
      <left style="thin">
        <color rgb="FF666699"/>
      </left>
      <right style="medium">
        <color rgb="FF666699"/>
      </right>
    </border>
    <border>
      <left style="medium">
        <color rgb="FF666699"/>
      </left>
      <right/>
    </border>
    <border>
      <left/>
      <right style="medium">
        <color rgb="FF666699"/>
      </right>
    </border>
    <border>
      <left style="medium">
        <color rgb="FF666699"/>
      </left>
      <right style="hair">
        <color rgb="FF008000"/>
      </right>
      <bottom style="medium">
        <color rgb="FF666699"/>
      </bottom>
    </border>
    <border>
      <left style="hair">
        <color rgb="FF008000"/>
      </left>
      <right style="hair">
        <color rgb="FF008000"/>
      </right>
      <bottom style="medium">
        <color rgb="FF666699"/>
      </bottom>
    </border>
    <border>
      <left style="hair">
        <color rgb="FF008000"/>
      </left>
      <right style="medium">
        <color rgb="FF666699"/>
      </right>
      <bottom style="medium">
        <color rgb="FF666699"/>
      </bottom>
    </border>
    <border>
      <left/>
      <right/>
      <bottom style="medium">
        <color rgb="FF666699"/>
      </bottom>
    </border>
    <border>
      <left/>
      <right style="thin">
        <color rgb="FF666699"/>
      </right>
      <bottom style="medium">
        <color rgb="FF666699"/>
      </bottom>
    </border>
    <border>
      <left style="thin">
        <color rgb="FF666699"/>
      </left>
      <right/>
      <bottom style="medium">
        <color rgb="FF666699"/>
      </bottom>
    </border>
    <border>
      <left style="thin">
        <color rgb="FF666699"/>
      </left>
      <right style="medium">
        <color rgb="FF666699"/>
      </right>
      <bottom style="medium">
        <color rgb="FF666699"/>
      </bottom>
    </border>
    <border>
      <left style="medium">
        <color rgb="FF666699"/>
      </left>
      <right/>
      <bottom style="medium">
        <color rgb="FF666699"/>
      </bottom>
    </border>
    <border>
      <left/>
      <right style="medium">
        <color rgb="FF666699"/>
      </right>
      <bottom style="medium">
        <color rgb="FF666699"/>
      </bottom>
    </border>
    <border>
      <left style="medium">
        <color rgb="FF666699"/>
      </left>
      <right/>
      <top style="medium">
        <color rgb="FF666699"/>
      </top>
      <bottom style="medium">
        <color rgb="FF666699"/>
      </bottom>
    </border>
    <border>
      <left/>
      <right/>
      <top style="medium">
        <color rgb="FF666699"/>
      </top>
      <bottom style="medium">
        <color rgb="FF666699"/>
      </bottom>
    </border>
    <border>
      <left/>
      <top style="medium">
        <color rgb="FF666699"/>
      </top>
      <bottom style="medium">
        <color rgb="FF666699"/>
      </bottom>
    </border>
    <border>
      <right/>
      <top style="medium">
        <color rgb="FF666699"/>
      </top>
      <bottom style="medium">
        <color rgb="FF666699"/>
      </bottom>
    </border>
    <border>
      <left style="hair">
        <color rgb="FF008000"/>
      </left>
      <right style="medium">
        <color rgb="FF666699"/>
      </right>
      <top style="medium">
        <color rgb="FF666699"/>
      </top>
      <bottom style="hair">
        <color rgb="FF008000"/>
      </bottom>
    </border>
    <border>
      <left style="thin">
        <color rgb="FF666699"/>
      </left>
      <right/>
      <top style="medium">
        <color rgb="FF666699"/>
      </top>
      <bottom style="medium">
        <color rgb="FF666699"/>
      </bottom>
    </border>
    <border>
      <left/>
      <right style="medium">
        <color rgb="FF666699"/>
      </right>
      <top style="medium">
        <color rgb="FF666699"/>
      </top>
      <bottom style="medium">
        <color rgb="FF666699"/>
      </bottom>
    </border>
    <border>
      <left style="medium">
        <color rgb="FF666699"/>
      </left>
      <right style="hair">
        <color rgb="FF008000"/>
      </right>
      <top style="medium">
        <color rgb="FF666699"/>
      </top>
      <bottom style="hair">
        <color rgb="FF808000"/>
      </bottom>
    </border>
    <border>
      <left style="hair">
        <color rgb="FF008000"/>
      </left>
      <right style="hair">
        <color rgb="FF008000"/>
      </right>
      <top style="medium">
        <color rgb="FF666699"/>
      </top>
      <bottom style="hair">
        <color rgb="FF808000"/>
      </bottom>
    </border>
    <border>
      <left style="hair">
        <color rgb="FF008000"/>
      </left>
      <right style="medium">
        <color rgb="FF666699"/>
      </right>
      <top style="hair">
        <color rgb="FF008000"/>
      </top>
      <bottom style="hair">
        <color rgb="FF808000"/>
      </bottom>
    </border>
    <border>
      <left style="medium">
        <color rgb="FF666699"/>
      </left>
      <right/>
      <top/>
      <bottom style="thin">
        <color rgb="FF666699"/>
      </bottom>
    </border>
    <border>
      <left style="thin">
        <color rgb="FF666699"/>
      </left>
      <right/>
      <top/>
      <bottom style="thin">
        <color rgb="FF666699"/>
      </bottom>
    </border>
    <border>
      <left/>
      <right style="thin">
        <color rgb="FF666699"/>
      </right>
      <top/>
      <bottom style="thin">
        <color rgb="FF666699"/>
      </bottom>
    </border>
    <border>
      <left/>
      <right style="medium">
        <color rgb="FF666699"/>
      </right>
      <top/>
      <bottom style="thin">
        <color rgb="FF666699"/>
      </bottom>
    </border>
    <border>
      <left style="medium">
        <color rgb="FF666699"/>
      </left>
    </border>
    <border>
      <right style="medium">
        <color rgb="FF666699"/>
      </right>
    </border>
    <border>
      <left style="medium">
        <color rgb="FF666699"/>
      </left>
      <right style="hair">
        <color rgb="FF008000"/>
      </right>
      <top style="hair">
        <color rgb="FF808000"/>
      </top>
      <bottom style="hair">
        <color rgb="FF808000"/>
      </bottom>
    </border>
    <border>
      <left style="hair">
        <color rgb="FF008000"/>
      </left>
      <right style="hair">
        <color rgb="FF008000"/>
      </right>
      <top style="hair">
        <color rgb="FF808000"/>
      </top>
      <bottom style="hair">
        <color rgb="FF808000"/>
      </bottom>
    </border>
    <border>
      <left style="hair">
        <color rgb="FF008000"/>
      </left>
      <right style="medium">
        <color rgb="FF666699"/>
      </right>
      <top style="hair">
        <color rgb="FF808000"/>
      </top>
      <bottom style="hair">
        <color rgb="FF808000"/>
      </bottom>
    </border>
    <border>
      <left/>
      <right/>
      <top style="thin">
        <color rgb="FF666699"/>
      </top>
      <bottom style="thin">
        <color rgb="FF666699"/>
      </bottom>
    </border>
    <border>
      <left/>
      <right style="medium">
        <color rgb="FF666699"/>
      </right>
      <top style="thin">
        <color rgb="FF666699"/>
      </top>
      <bottom style="thin">
        <color rgb="FF666699"/>
      </bottom>
    </border>
    <border>
      <left style="medium">
        <color rgb="FF666699"/>
      </left>
      <right style="hair">
        <color rgb="FF008000"/>
      </right>
      <top style="hair">
        <color rgb="FF808000"/>
      </top>
      <bottom style="medium">
        <color rgb="FF666699"/>
      </bottom>
    </border>
    <border>
      <left style="hair">
        <color rgb="FF008000"/>
      </left>
      <right style="hair">
        <color rgb="FF008000"/>
      </right>
      <top style="hair">
        <color rgb="FF808000"/>
      </top>
      <bottom style="medium">
        <color rgb="FF666699"/>
      </bottom>
    </border>
    <border>
      <left style="hair">
        <color rgb="FF008000"/>
      </left>
      <right style="medium">
        <color rgb="FF666699"/>
      </right>
      <top style="hair">
        <color rgb="FF808000"/>
      </top>
      <bottom style="medium">
        <color rgb="FF666699"/>
      </bottom>
    </border>
    <border>
      <left style="medium">
        <color rgb="FF666699"/>
      </left>
      <right/>
      <top style="thin">
        <color rgb="FF666699"/>
      </top>
      <bottom style="medium">
        <color rgb="FF666699"/>
      </bottom>
    </border>
    <border>
      <left/>
      <right/>
      <top style="thin">
        <color rgb="FF666699"/>
      </top>
      <bottom style="medium">
        <color rgb="FF666699"/>
      </bottom>
    </border>
    <border>
      <left style="thin">
        <color rgb="FF666699"/>
      </left>
      <right/>
      <top style="thin">
        <color rgb="FF666699"/>
      </top>
      <bottom style="medium">
        <color rgb="FF666699"/>
      </bottom>
    </border>
    <border>
      <left/>
      <right style="thin">
        <color rgb="FF666699"/>
      </right>
      <top style="thin">
        <color rgb="FF666699"/>
      </top>
      <bottom style="medium">
        <color rgb="FF666699"/>
      </bottom>
    </border>
    <border>
      <left/>
      <right style="medium">
        <color rgb="FF666699"/>
      </right>
      <top style="thin">
        <color rgb="FF666699"/>
      </top>
      <bottom style="medium">
        <color rgb="FF666699"/>
      </bottom>
    </border>
    <border>
      <left style="thin">
        <color rgb="FF808080"/>
      </left>
      <right/>
      <top style="thin">
        <color rgb="FF808080"/>
      </top>
      <bottom style="thin">
        <color rgb="FF808080"/>
      </bottom>
    </border>
    <border>
      <left/>
      <right/>
      <top style="thin">
        <color rgb="FF808080"/>
      </top>
      <bottom style="thin">
        <color rgb="FF808080"/>
      </bottom>
    </border>
    <border>
      <left/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808080"/>
      </left>
      <right/>
      <top style="thin">
        <color rgb="FF808080"/>
      </top>
      <bottom/>
    </border>
    <border>
      <left/>
      <right/>
      <top style="thin">
        <color rgb="FF808080"/>
      </top>
      <bottom/>
    </border>
    <border>
      <left/>
      <right style="thin">
        <color rgb="FF808080"/>
      </right>
      <top style="thin">
        <color rgb="FF808080"/>
      </top>
      <bottom/>
    </border>
    <border>
      <left style="thin">
        <color rgb="FF808080"/>
      </left>
      <right/>
      <top/>
      <bottom/>
    </border>
    <border>
      <left/>
      <right style="thin">
        <color rgb="FF808080"/>
      </right>
      <top/>
      <bottom/>
    </border>
    <border>
      <left style="thin">
        <color rgb="FF808080"/>
      </left>
      <right/>
      <top/>
      <bottom style="thin">
        <color rgb="FF808080"/>
      </bottom>
    </border>
    <border>
      <left/>
      <right/>
      <top/>
      <bottom style="thin">
        <color rgb="FF808080"/>
      </bottom>
    </border>
    <border>
      <left/>
      <right style="thin">
        <color rgb="FF808080"/>
      </right>
      <top/>
      <bottom style="thin">
        <color rgb="FF808080"/>
      </bottom>
    </border>
  </borders>
  <cellStyleXfs count="1">
    <xf borderId="0" fillId="0" fontId="0" numFmtId="0" applyAlignment="1" applyFont="1"/>
  </cellStyleXfs>
  <cellXfs count="20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164" xfId="0" applyAlignment="1" applyFont="1" applyNumberFormat="1">
      <alignment shrinkToFit="0" vertical="bottom" wrapText="0"/>
    </xf>
    <xf borderId="0" fillId="0" fontId="1" numFmtId="4" xfId="0" applyAlignment="1" applyFont="1" applyNumberForma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2" numFmtId="4" xfId="0" applyAlignment="1" applyFont="1" applyNumberFormat="1">
      <alignment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4" numFmtId="0" xfId="0" applyAlignment="1" applyFont="1">
      <alignment horizontal="center" shrinkToFit="0" vertical="bottom" wrapText="0"/>
    </xf>
    <xf borderId="0" fillId="0" fontId="5" numFmtId="0" xfId="0" applyAlignment="1" applyFont="1">
      <alignment shrinkToFit="0" vertical="bottom" wrapText="0"/>
    </xf>
    <xf borderId="0" fillId="0" fontId="6" numFmtId="165" xfId="0" applyAlignment="1" applyFont="1" applyNumberFormat="1">
      <alignment shrinkToFit="0" vertical="bottom" wrapText="0"/>
    </xf>
    <xf borderId="0" fillId="0" fontId="6" numFmtId="0" xfId="0" applyAlignment="1" applyFont="1">
      <alignment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1" numFmtId="0" xfId="0" applyAlignment="1" applyFont="1">
      <alignment horizontal="left" shrinkToFit="0" vertical="bottom" wrapText="0"/>
    </xf>
    <xf borderId="1" fillId="2" fontId="7" numFmtId="0" xfId="0" applyAlignment="1" applyBorder="1" applyFill="1" applyFont="1">
      <alignment shrinkToFit="0" vertical="bottom" wrapText="0"/>
    </xf>
    <xf borderId="0" fillId="0" fontId="7" numFmtId="0" xfId="0" applyAlignment="1" applyFont="1">
      <alignment shrinkToFit="0" vertical="bottom" wrapText="0"/>
    </xf>
    <xf borderId="2" fillId="3" fontId="8" numFmtId="164" xfId="0" applyAlignment="1" applyBorder="1" applyFill="1" applyFont="1" applyNumberFormat="1">
      <alignment shrinkToFit="0" vertical="bottom" wrapText="0"/>
    </xf>
    <xf borderId="3" fillId="3" fontId="1" numFmtId="4" xfId="0" applyAlignment="1" applyBorder="1" applyFont="1" applyNumberFormat="1">
      <alignment shrinkToFit="0" vertical="bottom" wrapText="0"/>
    </xf>
    <xf borderId="3" fillId="4" fontId="1" numFmtId="0" xfId="0" applyAlignment="1" applyBorder="1" applyFill="1" applyFont="1">
      <alignment shrinkToFit="0" vertical="bottom" wrapText="0"/>
    </xf>
    <xf borderId="3" fillId="4" fontId="1" numFmtId="4" xfId="0" applyAlignment="1" applyBorder="1" applyFont="1" applyNumberFormat="1">
      <alignment shrinkToFit="0" vertical="bottom" wrapText="0"/>
    </xf>
    <xf borderId="4" fillId="4" fontId="9" numFmtId="0" xfId="0" applyAlignment="1" applyBorder="1" applyFont="1">
      <alignment shrinkToFit="0" vertical="bottom" wrapText="0"/>
    </xf>
    <xf borderId="2" fillId="3" fontId="8" numFmtId="0" xfId="0" applyAlignment="1" applyBorder="1" applyFont="1">
      <alignment shrinkToFit="0" vertical="bottom" wrapText="0"/>
    </xf>
    <xf borderId="4" fillId="4" fontId="1" numFmtId="0" xfId="0" applyAlignment="1" applyBorder="1" applyFont="1">
      <alignment shrinkToFit="0" vertical="bottom" wrapText="0"/>
    </xf>
    <xf borderId="3" fillId="4" fontId="9" numFmtId="0" xfId="0" applyAlignment="1" applyBorder="1" applyFont="1">
      <alignment shrinkToFit="0" vertical="bottom" wrapText="0"/>
    </xf>
    <xf borderId="5" fillId="2" fontId="1" numFmtId="0" xfId="0" applyAlignment="1" applyBorder="1" applyFont="1">
      <alignment shrinkToFit="0" vertical="bottom" wrapText="0"/>
    </xf>
    <xf borderId="6" fillId="4" fontId="1" numFmtId="164" xfId="0" applyAlignment="1" applyBorder="1" applyFont="1" applyNumberFormat="1">
      <alignment shrinkToFit="0" vertical="bottom" wrapText="0"/>
    </xf>
    <xf borderId="7" fillId="4" fontId="7" numFmtId="0" xfId="0" applyAlignment="1" applyBorder="1" applyFont="1">
      <alignment horizontal="right" shrinkToFit="0" vertical="bottom" wrapText="0"/>
    </xf>
    <xf borderId="8" fillId="5" fontId="7" numFmtId="166" xfId="0" applyAlignment="1" applyBorder="1" applyFill="1" applyFont="1" applyNumberFormat="1">
      <alignment shrinkToFit="0" vertical="bottom" wrapText="0"/>
    </xf>
    <xf borderId="8" fillId="5" fontId="7" numFmtId="0" xfId="0" applyAlignment="1" applyBorder="1" applyFont="1">
      <alignment horizontal="center" shrinkToFit="0" vertical="bottom" wrapText="0"/>
    </xf>
    <xf borderId="7" fillId="4" fontId="1" numFmtId="0" xfId="0" applyAlignment="1" applyBorder="1" applyFont="1">
      <alignment shrinkToFit="0" vertical="bottom" wrapText="0"/>
    </xf>
    <xf borderId="9" fillId="4" fontId="1" numFmtId="0" xfId="0" applyAlignment="1" applyBorder="1" applyFont="1">
      <alignment shrinkToFit="0" vertical="bottom" wrapText="0"/>
    </xf>
    <xf borderId="6" fillId="4" fontId="1" numFmtId="0" xfId="0" applyAlignment="1" applyBorder="1" applyFont="1">
      <alignment shrinkToFit="0" vertical="bottom" wrapText="0"/>
    </xf>
    <xf borderId="10" fillId="5" fontId="1" numFmtId="4" xfId="0" applyAlignment="1" applyBorder="1" applyFont="1" applyNumberFormat="1">
      <alignment shrinkToFit="0" vertical="bottom" wrapText="0"/>
    </xf>
    <xf borderId="11" fillId="4" fontId="1" numFmtId="0" xfId="0" applyAlignment="1" applyBorder="1" applyFont="1">
      <alignment horizontal="right" shrinkToFit="0" vertical="bottom" wrapText="1"/>
    </xf>
    <xf borderId="12" fillId="0" fontId="10" numFmtId="0" xfId="0" applyBorder="1" applyFont="1"/>
    <xf borderId="9" fillId="4" fontId="1" numFmtId="167" xfId="0" applyAlignment="1" applyBorder="1" applyFont="1" applyNumberFormat="1">
      <alignment shrinkToFit="0" vertical="bottom" wrapText="0"/>
    </xf>
    <xf borderId="0" fillId="0" fontId="11" numFmtId="165" xfId="0" applyAlignment="1" applyFont="1" applyNumberFormat="1">
      <alignment shrinkToFit="0" vertical="bottom" wrapText="0"/>
    </xf>
    <xf borderId="7" fillId="4" fontId="1" numFmtId="4" xfId="0" applyAlignment="1" applyBorder="1" applyFont="1" applyNumberFormat="1">
      <alignment shrinkToFit="0" vertical="bottom" wrapText="0"/>
    </xf>
    <xf borderId="7" fillId="4" fontId="1" numFmtId="0" xfId="0" applyAlignment="1" applyBorder="1" applyFont="1">
      <alignment horizontal="right" shrinkToFit="0" vertical="bottom" wrapText="0"/>
    </xf>
    <xf borderId="13" fillId="4" fontId="1" numFmtId="0" xfId="0" applyAlignment="1" applyBorder="1" applyFont="1">
      <alignment shrinkToFit="0" vertical="bottom" wrapText="0"/>
    </xf>
    <xf borderId="14" fillId="4" fontId="1" numFmtId="0" xfId="0" applyAlignment="1" applyBorder="1" applyFont="1">
      <alignment shrinkToFit="0" vertical="bottom" wrapText="0"/>
    </xf>
    <xf borderId="15" fillId="5" fontId="1" numFmtId="164" xfId="0" applyAlignment="1" applyBorder="1" applyFont="1" applyNumberFormat="1">
      <alignment shrinkToFit="0" vertical="bottom" wrapText="0"/>
    </xf>
    <xf borderId="0" fillId="0" fontId="1" numFmtId="165" xfId="0" applyAlignment="1" applyFont="1" applyNumberFormat="1">
      <alignment horizontal="center" shrinkToFit="0" vertical="bottom" wrapText="0"/>
    </xf>
    <xf borderId="1" fillId="6" fontId="7" numFmtId="0" xfId="0" applyAlignment="1" applyBorder="1" applyFill="1" applyFont="1">
      <alignment shrinkToFit="0" vertical="bottom" wrapText="0"/>
    </xf>
    <xf borderId="8" fillId="5" fontId="7" numFmtId="164" xfId="0" applyAlignment="1" applyBorder="1" applyFont="1" applyNumberFormat="1">
      <alignment shrinkToFit="0" vertical="bottom" wrapText="0"/>
    </xf>
    <xf borderId="16" fillId="4" fontId="12" numFmtId="0" xfId="0" applyAlignment="1" applyBorder="1" applyFont="1">
      <alignment shrinkToFit="0" vertical="bottom" wrapText="0"/>
    </xf>
    <xf borderId="7" fillId="4" fontId="12" numFmtId="0" xfId="0" applyAlignment="1" applyBorder="1" applyFont="1">
      <alignment shrinkToFit="0" vertical="bottom" wrapText="0"/>
    </xf>
    <xf borderId="9" fillId="4" fontId="12" numFmtId="0" xfId="0" applyAlignment="1" applyBorder="1" applyFont="1">
      <alignment shrinkToFit="0" vertical="bottom" wrapText="0"/>
    </xf>
    <xf borderId="9" fillId="4" fontId="1" numFmtId="166" xfId="0" applyAlignment="1" applyBorder="1" applyFont="1" applyNumberFormat="1">
      <alignment shrinkToFit="0" vertical="bottom" wrapText="0"/>
    </xf>
    <xf borderId="0" fillId="0" fontId="6" numFmtId="4" xfId="0" applyAlignment="1" applyFont="1" applyNumberFormat="1">
      <alignment shrinkToFit="0" vertical="bottom" wrapText="0"/>
    </xf>
    <xf borderId="0" fillId="0" fontId="1" numFmtId="168" xfId="0" applyAlignment="1" applyFont="1" applyNumberFormat="1">
      <alignment horizontal="center" shrinkToFit="0" vertical="bottom" wrapText="0"/>
    </xf>
    <xf borderId="5" fillId="6" fontId="1" numFmtId="0" xfId="0" applyAlignment="1" applyBorder="1" applyFont="1">
      <alignment shrinkToFit="0" vertical="bottom" wrapText="0"/>
    </xf>
    <xf borderId="8" fillId="5" fontId="1" numFmtId="167" xfId="0" applyAlignment="1" applyBorder="1" applyFont="1" applyNumberFormat="1">
      <alignment horizontal="center" shrinkToFit="0" vertical="bottom" wrapText="0"/>
    </xf>
    <xf borderId="6" fillId="4" fontId="7" numFmtId="0" xfId="0" applyAlignment="1" applyBorder="1" applyFont="1">
      <alignment shrinkToFit="0" vertical="bottom" wrapText="0"/>
    </xf>
    <xf borderId="10" fillId="5" fontId="1" numFmtId="0" xfId="0" applyAlignment="1" applyBorder="1" applyFont="1">
      <alignment shrinkToFit="0" vertical="bottom" wrapText="0"/>
    </xf>
    <xf borderId="0" fillId="0" fontId="6" numFmtId="167" xfId="0" applyAlignment="1" applyFont="1" applyNumberFormat="1">
      <alignment shrinkToFit="0" vertical="bottom" wrapText="0"/>
    </xf>
    <xf borderId="13" fillId="4" fontId="1" numFmtId="164" xfId="0" applyAlignment="1" applyBorder="1" applyFont="1" applyNumberFormat="1">
      <alignment shrinkToFit="0" vertical="bottom" wrapText="0"/>
    </xf>
    <xf borderId="14" fillId="4" fontId="7" numFmtId="0" xfId="0" applyAlignment="1" applyBorder="1" applyFont="1">
      <alignment horizontal="right" shrinkToFit="0" vertical="bottom" wrapText="0"/>
    </xf>
    <xf borderId="14" fillId="3" fontId="9" numFmtId="166" xfId="0" applyAlignment="1" applyBorder="1" applyFont="1" applyNumberFormat="1">
      <alignment horizontal="center" shrinkToFit="0" vertical="bottom" wrapText="0"/>
    </xf>
    <xf borderId="14" fillId="4" fontId="1" numFmtId="4" xfId="0" applyAlignment="1" applyBorder="1" applyFont="1" applyNumberFormat="1">
      <alignment shrinkToFit="0" vertical="bottom" wrapText="0"/>
    </xf>
    <xf borderId="17" fillId="4" fontId="1" numFmtId="0" xfId="0" applyAlignment="1" applyBorder="1" applyFont="1">
      <alignment shrinkToFit="0" vertical="bottom" wrapText="0"/>
    </xf>
    <xf borderId="15" fillId="5" fontId="1" numFmtId="4" xfId="0" applyAlignment="1" applyBorder="1" applyFont="1" applyNumberFormat="1">
      <alignment shrinkToFit="0" vertical="bottom" wrapText="0"/>
    </xf>
    <xf borderId="18" fillId="4" fontId="7" numFmtId="0" xfId="0" applyAlignment="1" applyBorder="1" applyFont="1">
      <alignment horizontal="right" shrinkToFit="0" vertical="bottom" wrapText="0"/>
    </xf>
    <xf borderId="19" fillId="0" fontId="10" numFmtId="0" xfId="0" applyBorder="1" applyFont="1"/>
    <xf borderId="17" fillId="3" fontId="9" numFmtId="166" xfId="0" applyAlignment="1" applyBorder="1" applyFont="1" applyNumberFormat="1">
      <alignment shrinkToFit="0" vertical="bottom" wrapText="0"/>
    </xf>
    <xf borderId="20" fillId="6" fontId="1" numFmtId="0" xfId="0" applyAlignment="1" applyBorder="1" applyFont="1">
      <alignment shrinkToFit="0" vertical="bottom" wrapText="0"/>
    </xf>
    <xf borderId="0" fillId="0" fontId="1" numFmtId="0" xfId="0" applyAlignment="1" applyFont="1">
      <alignment horizontal="right" shrinkToFit="0" vertical="bottom" wrapText="0"/>
    </xf>
    <xf borderId="1" fillId="7" fontId="7" numFmtId="0" xfId="0" applyAlignment="1" applyBorder="1" applyFill="1" applyFont="1">
      <alignment shrinkToFit="0" vertical="bottom" wrapText="0"/>
    </xf>
    <xf borderId="21" fillId="3" fontId="9" numFmtId="164" xfId="0" applyAlignment="1" applyBorder="1" applyFont="1" applyNumberFormat="1">
      <alignment horizontal="left" shrinkToFit="0" vertical="bottom" wrapText="0"/>
    </xf>
    <xf borderId="22" fillId="0" fontId="10" numFmtId="0" xfId="0" applyBorder="1" applyFont="1"/>
    <xf borderId="23" fillId="0" fontId="10" numFmtId="0" xfId="0" applyBorder="1" applyFont="1"/>
    <xf borderId="21" fillId="3" fontId="9" numFmtId="0" xfId="0" applyAlignment="1" applyBorder="1" applyFont="1">
      <alignment horizontal="left" shrinkToFit="0" vertical="bottom" wrapText="0"/>
    </xf>
    <xf borderId="21" fillId="3" fontId="13" numFmtId="165" xfId="0" applyAlignment="1" applyBorder="1" applyFont="1" applyNumberFormat="1">
      <alignment horizontal="center" shrinkToFit="0" vertical="bottom" wrapText="1"/>
    </xf>
    <xf borderId="5" fillId="7" fontId="1" numFmtId="169" xfId="0" applyAlignment="1" applyBorder="1" applyFont="1" applyNumberFormat="1">
      <alignment shrinkToFit="0" vertical="bottom" wrapText="0"/>
    </xf>
    <xf borderId="7" fillId="8" fontId="7" numFmtId="0" xfId="0" applyAlignment="1" applyBorder="1" applyFill="1" applyFont="1">
      <alignment shrinkToFit="0" vertical="bottom" wrapText="0"/>
    </xf>
    <xf borderId="24" fillId="4" fontId="12" numFmtId="170" xfId="0" applyAlignment="1" applyBorder="1" applyFont="1" applyNumberFormat="1">
      <alignment shrinkToFit="0" vertical="bottom" wrapText="1"/>
    </xf>
    <xf borderId="25" fillId="4" fontId="12" numFmtId="170" xfId="0" applyAlignment="1" applyBorder="1" applyFont="1" applyNumberFormat="1">
      <alignment shrinkToFit="0" vertical="bottom" wrapText="1"/>
    </xf>
    <xf borderId="26" fillId="4" fontId="12" numFmtId="170" xfId="0" applyAlignment="1" applyBorder="1" applyFont="1" applyNumberFormat="1">
      <alignment shrinkToFit="0" vertical="bottom" wrapText="1"/>
    </xf>
    <xf borderId="2" fillId="4" fontId="14" numFmtId="0" xfId="0" applyAlignment="1" applyBorder="1" applyFont="1">
      <alignment horizontal="center" shrinkToFit="0" vertical="bottom" wrapText="1"/>
    </xf>
    <xf borderId="27" fillId="4" fontId="14" numFmtId="0" xfId="0" applyAlignment="1" applyBorder="1" applyFont="1">
      <alignment horizontal="center" shrinkToFit="0" vertical="bottom" wrapText="1"/>
    </xf>
    <xf borderId="3" fillId="4" fontId="14" numFmtId="0" xfId="0" applyAlignment="1" applyBorder="1" applyFont="1">
      <alignment shrinkToFit="0" vertical="bottom" wrapText="1"/>
    </xf>
    <xf borderId="27" fillId="4" fontId="14" numFmtId="0" xfId="0" applyAlignment="1" applyBorder="1" applyFont="1">
      <alignment horizontal="right" shrinkToFit="0" vertical="bottom" wrapText="1"/>
    </xf>
    <xf borderId="28" fillId="4" fontId="14" numFmtId="0" xfId="0" applyAlignment="1" applyBorder="1" applyFont="1">
      <alignment horizontal="right" shrinkToFit="0" vertical="bottom" wrapText="1"/>
    </xf>
    <xf borderId="29" fillId="4" fontId="14" numFmtId="0" xfId="0" applyAlignment="1" applyBorder="1" applyFont="1">
      <alignment horizontal="right" shrinkToFit="0" vertical="bottom" wrapText="1"/>
    </xf>
    <xf borderId="30" fillId="4" fontId="14" numFmtId="0" xfId="0" applyAlignment="1" applyBorder="1" applyFont="1">
      <alignment horizontal="right" shrinkToFit="0" vertical="bottom" wrapText="1"/>
    </xf>
    <xf borderId="31" fillId="4" fontId="14" numFmtId="0" xfId="0" applyAlignment="1" applyBorder="1" applyFont="1">
      <alignment horizontal="right" shrinkToFit="0" vertical="bottom" wrapText="1"/>
    </xf>
    <xf borderId="32" fillId="4" fontId="14" numFmtId="0" xfId="0" applyAlignment="1" applyBorder="1" applyFont="1">
      <alignment horizontal="right" shrinkToFit="0" vertical="bottom" wrapText="1"/>
    </xf>
    <xf borderId="33" fillId="4" fontId="14" numFmtId="164" xfId="0" applyAlignment="1" applyBorder="1" applyFont="1" applyNumberFormat="1">
      <alignment horizontal="center" shrinkToFit="0" vertical="bottom" wrapText="1"/>
    </xf>
    <xf borderId="34" fillId="4" fontId="14" numFmtId="4" xfId="0" applyAlignment="1" applyBorder="1" applyFont="1" applyNumberFormat="1">
      <alignment horizontal="center" shrinkToFit="0" vertical="bottom" wrapText="1"/>
    </xf>
    <xf borderId="34" fillId="4" fontId="14" numFmtId="0" xfId="0" applyAlignment="1" applyBorder="1" applyFont="1">
      <alignment horizontal="center" shrinkToFit="0" vertical="bottom" wrapText="1"/>
    </xf>
    <xf borderId="35" fillId="4" fontId="14" numFmtId="4" xfId="0" applyAlignment="1" applyBorder="1" applyFont="1" applyNumberFormat="1">
      <alignment horizontal="center" shrinkToFit="0" vertical="bottom" wrapText="1"/>
    </xf>
    <xf borderId="0" fillId="0" fontId="12" numFmtId="0" xfId="0" applyAlignment="1" applyFont="1">
      <alignment shrinkToFit="0" vertical="bottom" wrapText="0"/>
    </xf>
    <xf borderId="6" fillId="4" fontId="14" numFmtId="0" xfId="0" applyAlignment="1" applyBorder="1" applyFont="1">
      <alignment horizontal="center" shrinkToFit="0" vertical="bottom" wrapText="0"/>
    </xf>
    <xf borderId="36" fillId="0" fontId="10" numFmtId="0" xfId="0" applyBorder="1" applyFont="1"/>
    <xf borderId="7" fillId="4" fontId="14" numFmtId="0" xfId="0" applyAlignment="1" applyBorder="1" applyFont="1">
      <alignment horizontal="center" shrinkToFit="0" vertical="bottom" wrapText="1"/>
    </xf>
    <xf borderId="37" fillId="0" fontId="10" numFmtId="0" xfId="0" applyBorder="1" applyFont="1"/>
    <xf borderId="38" fillId="0" fontId="10" numFmtId="0" xfId="0" applyBorder="1" applyFont="1"/>
    <xf borderId="39" fillId="0" fontId="10" numFmtId="0" xfId="0" applyBorder="1" applyFont="1"/>
    <xf borderId="40" fillId="0" fontId="10" numFmtId="0" xfId="0" applyBorder="1" applyFont="1"/>
    <xf borderId="41" fillId="0" fontId="10" numFmtId="0" xfId="0" applyBorder="1" applyFont="1"/>
    <xf borderId="20" fillId="7" fontId="1" numFmtId="169" xfId="0" applyAlignment="1" applyBorder="1" applyFont="1" applyNumberFormat="1">
      <alignment shrinkToFit="0" vertical="bottom" wrapText="0"/>
    </xf>
    <xf borderId="0" fillId="0" fontId="1" numFmtId="171" xfId="0" applyAlignment="1" applyFont="1" applyNumberFormat="1">
      <alignment shrinkToFit="0" vertical="bottom" wrapText="0"/>
    </xf>
    <xf borderId="42" fillId="0" fontId="10" numFmtId="0" xfId="0" applyBorder="1" applyFont="1"/>
    <xf borderId="43" fillId="0" fontId="10" numFmtId="0" xfId="0" applyBorder="1" applyFont="1"/>
    <xf borderId="44" fillId="0" fontId="10" numFmtId="0" xfId="0" applyBorder="1" applyFont="1"/>
    <xf borderId="13" fillId="4" fontId="14" numFmtId="0" xfId="0" applyAlignment="1" applyBorder="1" applyFont="1">
      <alignment horizontal="center" shrinkToFit="0" vertical="bottom" wrapText="0"/>
    </xf>
    <xf borderId="45" fillId="0" fontId="10" numFmtId="0" xfId="0" applyBorder="1" applyFont="1"/>
    <xf borderId="14" fillId="4" fontId="14" numFmtId="0" xfId="0" applyAlignment="1" applyBorder="1" applyFont="1">
      <alignment shrinkToFit="0" vertical="bottom" wrapText="1"/>
    </xf>
    <xf borderId="46" fillId="0" fontId="10" numFmtId="0" xfId="0" applyBorder="1" applyFont="1"/>
    <xf borderId="47" fillId="0" fontId="10" numFmtId="0" xfId="0" applyBorder="1" applyFont="1"/>
    <xf borderId="48" fillId="0" fontId="10" numFmtId="0" xfId="0" applyBorder="1" applyFont="1"/>
    <xf borderId="49" fillId="0" fontId="10" numFmtId="0" xfId="0" applyBorder="1" applyFont="1"/>
    <xf borderId="50" fillId="0" fontId="10" numFmtId="0" xfId="0" applyBorder="1" applyFont="1"/>
    <xf borderId="51" fillId="3" fontId="8" numFmtId="4" xfId="0" applyAlignment="1" applyBorder="1" applyFont="1" applyNumberFormat="1">
      <alignment shrinkToFit="0" vertical="bottom" wrapText="1"/>
    </xf>
    <xf borderId="52" fillId="3" fontId="8" numFmtId="166" xfId="0" applyAlignment="1" applyBorder="1" applyFont="1" applyNumberFormat="1">
      <alignment shrinkToFit="0" vertical="bottom" wrapText="1"/>
    </xf>
    <xf borderId="53" fillId="3" fontId="9" numFmtId="4" xfId="0" applyAlignment="1" applyBorder="1" applyFont="1" applyNumberFormat="1">
      <alignment horizontal="center" shrinkToFit="0" vertical="bottom" wrapText="1"/>
    </xf>
    <xf borderId="54" fillId="0" fontId="10" numFmtId="0" xfId="0" applyBorder="1" applyFont="1"/>
    <xf borderId="55" fillId="5" fontId="1" numFmtId="4" xfId="0" applyAlignment="1" applyBorder="1" applyFont="1" applyNumberFormat="1">
      <alignment shrinkToFit="0" vertical="bottom" wrapText="0"/>
    </xf>
    <xf borderId="51" fillId="3" fontId="8" numFmtId="0" xfId="0" applyAlignment="1" applyBorder="1" applyFont="1">
      <alignment horizontal="center" shrinkToFit="0" vertical="bottom" wrapText="0"/>
    </xf>
    <xf borderId="52" fillId="3" fontId="15" numFmtId="0" xfId="0" applyAlignment="1" applyBorder="1" applyFont="1">
      <alignment horizontal="center" shrinkToFit="0" vertical="bottom" wrapText="0"/>
    </xf>
    <xf borderId="52" fillId="3" fontId="15" numFmtId="0" xfId="0" applyAlignment="1" applyBorder="1" applyFont="1">
      <alignment horizontal="center" shrinkToFit="0" vertical="bottom" wrapText="1"/>
    </xf>
    <xf borderId="52" fillId="3" fontId="8" numFmtId="167" xfId="0" applyAlignment="1" applyBorder="1" applyFont="1" applyNumberFormat="1">
      <alignment horizontal="right" shrinkToFit="0" vertical="bottom" wrapText="0"/>
    </xf>
    <xf borderId="52" fillId="3" fontId="8" numFmtId="172" xfId="0" applyAlignment="1" applyBorder="1" applyFont="1" applyNumberFormat="1">
      <alignment horizontal="right" shrinkToFit="0" vertical="bottom" wrapText="1"/>
    </xf>
    <xf borderId="56" fillId="3" fontId="8" numFmtId="172" xfId="0" applyAlignment="1" applyBorder="1" applyFont="1" applyNumberFormat="1">
      <alignment horizontal="right" shrinkToFit="0" vertical="bottom" wrapText="1"/>
    </xf>
    <xf borderId="57" fillId="3" fontId="8" numFmtId="172" xfId="0" applyAlignment="1" applyBorder="1" applyFont="1" applyNumberFormat="1">
      <alignment horizontal="right" shrinkToFit="0" vertical="bottom" wrapText="1"/>
    </xf>
    <xf borderId="6" fillId="4" fontId="14" numFmtId="0" xfId="0" applyAlignment="1" applyBorder="1" applyFont="1">
      <alignment horizontal="right" shrinkToFit="0" vertical="bottom" wrapText="0"/>
    </xf>
    <xf borderId="9" fillId="4" fontId="14" numFmtId="0" xfId="0" applyAlignment="1" applyBorder="1" applyFont="1">
      <alignment horizontal="right" shrinkToFit="0" vertical="bottom" wrapText="0"/>
    </xf>
    <xf borderId="58" fillId="5" fontId="1" numFmtId="164" xfId="0" applyAlignment="1" applyBorder="1" applyFont="1" applyNumberFormat="1">
      <alignment shrinkToFit="0" vertical="bottom" wrapText="0"/>
    </xf>
    <xf borderId="59" fillId="5" fontId="1" numFmtId="166" xfId="0" applyAlignment="1" applyBorder="1" applyFont="1" applyNumberFormat="1">
      <alignment shrinkToFit="0" vertical="bottom" wrapText="0"/>
    </xf>
    <xf borderId="59" fillId="5" fontId="1" numFmtId="0" xfId="0" applyAlignment="1" applyBorder="1" applyFont="1">
      <alignment shrinkToFit="0" vertical="bottom" wrapText="0"/>
    </xf>
    <xf borderId="59" fillId="5" fontId="1" numFmtId="4" xfId="0" applyAlignment="1" applyBorder="1" applyFont="1" applyNumberFormat="1">
      <alignment shrinkToFit="0" vertical="bottom" wrapText="0"/>
    </xf>
    <xf borderId="60" fillId="5" fontId="1" numFmtId="4" xfId="0" applyAlignment="1" applyBorder="1" applyFont="1" applyNumberFormat="1">
      <alignment shrinkToFit="0" vertical="bottom" wrapText="0"/>
    </xf>
    <xf borderId="61" fillId="4" fontId="1" numFmtId="0" xfId="0" applyAlignment="1" applyBorder="1" applyFont="1">
      <alignment horizontal="center" shrinkToFit="0" vertical="bottom" wrapText="0"/>
    </xf>
    <xf borderId="16" fillId="4" fontId="2" numFmtId="0" xfId="0" applyAlignment="1" applyBorder="1" applyFont="1">
      <alignment horizontal="center" shrinkToFit="0" vertical="bottom" wrapText="0"/>
    </xf>
    <xf borderId="16" fillId="4" fontId="1" numFmtId="167" xfId="0" applyAlignment="1" applyBorder="1" applyFont="1" applyNumberFormat="1">
      <alignment shrinkToFit="0" vertical="bottom" wrapText="0"/>
    </xf>
    <xf borderId="16" fillId="4" fontId="1" numFmtId="172" xfId="0" applyAlignment="1" applyBorder="1" applyFont="1" applyNumberFormat="1">
      <alignment shrinkToFit="0" vertical="bottom" wrapText="0"/>
    </xf>
    <xf borderId="62" fillId="4" fontId="1" numFmtId="172" xfId="0" applyAlignment="1" applyBorder="1" applyFont="1" applyNumberFormat="1">
      <alignment shrinkToFit="0" vertical="bottom" wrapText="0"/>
    </xf>
    <xf borderId="63" fillId="4" fontId="1" numFmtId="172" xfId="0" applyAlignment="1" applyBorder="1" applyFont="1" applyNumberFormat="1">
      <alignment shrinkToFit="0" vertical="bottom" wrapText="0"/>
    </xf>
    <xf borderId="64" fillId="4" fontId="1" numFmtId="172" xfId="0" applyAlignment="1" applyBorder="1" applyFont="1" applyNumberFormat="1">
      <alignment shrinkToFit="0" vertical="bottom" wrapText="0"/>
    </xf>
    <xf borderId="65" fillId="0" fontId="11" numFmtId="173" xfId="0" applyAlignment="1" applyBorder="1" applyFont="1" applyNumberFormat="1">
      <alignment shrinkToFit="0" vertical="bottom" wrapText="0"/>
    </xf>
    <xf borderId="66" fillId="0" fontId="11" numFmtId="4" xfId="0" applyAlignment="1" applyBorder="1" applyFont="1" applyNumberFormat="1">
      <alignment shrinkToFit="0" vertical="bottom" wrapText="0"/>
    </xf>
    <xf borderId="67" fillId="5" fontId="1" numFmtId="164" xfId="0" applyAlignment="1" applyBorder="1" applyFont="1" applyNumberFormat="1">
      <alignment shrinkToFit="0" vertical="bottom" wrapText="0"/>
    </xf>
    <xf borderId="68" fillId="5" fontId="1" numFmtId="166" xfId="0" applyAlignment="1" applyBorder="1" applyFont="1" applyNumberFormat="1">
      <alignment shrinkToFit="0" vertical="bottom" wrapText="0"/>
    </xf>
    <xf borderId="68" fillId="5" fontId="1" numFmtId="0" xfId="0" applyAlignment="1" applyBorder="1" applyFont="1">
      <alignment shrinkToFit="0" vertical="bottom" wrapText="0"/>
    </xf>
    <xf borderId="68" fillId="5" fontId="1" numFmtId="4" xfId="0" applyAlignment="1" applyBorder="1" applyFont="1" applyNumberFormat="1">
      <alignment shrinkToFit="0" vertical="bottom" wrapText="0"/>
    </xf>
    <xf borderId="69" fillId="5" fontId="1" numFmtId="4" xfId="0" applyAlignment="1" applyBorder="1" applyFont="1" applyNumberFormat="1">
      <alignment shrinkToFit="0" vertical="bottom" wrapText="0"/>
    </xf>
    <xf borderId="70" fillId="4" fontId="2" numFmtId="0" xfId="0" applyAlignment="1" applyBorder="1" applyFont="1">
      <alignment horizontal="center" shrinkToFit="0" vertical="bottom" wrapText="0"/>
    </xf>
    <xf borderId="70" fillId="4" fontId="1" numFmtId="167" xfId="0" applyAlignment="1" applyBorder="1" applyFont="1" applyNumberFormat="1">
      <alignment shrinkToFit="0" vertical="bottom" wrapText="0"/>
    </xf>
    <xf borderId="70" fillId="4" fontId="1" numFmtId="172" xfId="0" applyAlignment="1" applyBorder="1" applyFont="1" applyNumberFormat="1">
      <alignment shrinkToFit="0" vertical="bottom" wrapText="0"/>
    </xf>
    <xf borderId="71" fillId="4" fontId="1" numFmtId="172" xfId="0" applyAlignment="1" applyBorder="1" applyFont="1" applyNumberFormat="1">
      <alignment shrinkToFit="0" vertical="bottom" wrapText="0"/>
    </xf>
    <xf borderId="0" fillId="0" fontId="12" numFmtId="174" xfId="0" applyAlignment="1" applyFont="1" applyNumberFormat="1">
      <alignment shrinkToFit="0" vertical="bottom" wrapText="0"/>
    </xf>
    <xf borderId="72" fillId="5" fontId="1" numFmtId="164" xfId="0" applyAlignment="1" applyBorder="1" applyFont="1" applyNumberFormat="1">
      <alignment shrinkToFit="0" vertical="bottom" wrapText="0"/>
    </xf>
    <xf borderId="73" fillId="5" fontId="1" numFmtId="166" xfId="0" applyAlignment="1" applyBorder="1" applyFont="1" applyNumberFormat="1">
      <alignment shrinkToFit="0" vertical="bottom" wrapText="0"/>
    </xf>
    <xf borderId="73" fillId="5" fontId="1" numFmtId="0" xfId="0" applyAlignment="1" applyBorder="1" applyFont="1">
      <alignment shrinkToFit="0" vertical="bottom" wrapText="0"/>
    </xf>
    <xf borderId="73" fillId="5" fontId="1" numFmtId="4" xfId="0" applyAlignment="1" applyBorder="1" applyFont="1" applyNumberFormat="1">
      <alignment shrinkToFit="0" vertical="bottom" wrapText="0"/>
    </xf>
    <xf borderId="74" fillId="5" fontId="1" numFmtId="4" xfId="0" applyAlignment="1" applyBorder="1" applyFont="1" applyNumberFormat="1">
      <alignment shrinkToFit="0" vertical="bottom" wrapText="0"/>
    </xf>
    <xf borderId="75" fillId="4" fontId="1" numFmtId="0" xfId="0" applyAlignment="1" applyBorder="1" applyFont="1">
      <alignment horizontal="center" shrinkToFit="0" vertical="bottom" wrapText="0"/>
    </xf>
    <xf borderId="76" fillId="4" fontId="2" numFmtId="0" xfId="0" applyAlignment="1" applyBorder="1" applyFont="1">
      <alignment horizontal="center" shrinkToFit="0" vertical="bottom" wrapText="0"/>
    </xf>
    <xf borderId="76" fillId="4" fontId="1" numFmtId="167" xfId="0" applyAlignment="1" applyBorder="1" applyFont="1" applyNumberFormat="1">
      <alignment shrinkToFit="0" vertical="bottom" wrapText="0"/>
    </xf>
    <xf borderId="76" fillId="4" fontId="1" numFmtId="172" xfId="0" applyAlignment="1" applyBorder="1" applyFont="1" applyNumberFormat="1">
      <alignment shrinkToFit="0" vertical="bottom" wrapText="0"/>
    </xf>
    <xf borderId="77" fillId="4" fontId="1" numFmtId="172" xfId="0" applyAlignment="1" applyBorder="1" applyFont="1" applyNumberFormat="1">
      <alignment shrinkToFit="0" vertical="bottom" wrapText="0"/>
    </xf>
    <xf borderId="78" fillId="4" fontId="1" numFmtId="172" xfId="0" applyAlignment="1" applyBorder="1" applyFont="1" applyNumberFormat="1">
      <alignment shrinkToFit="0" vertical="bottom" wrapText="0"/>
    </xf>
    <xf borderId="79" fillId="4" fontId="1" numFmtId="172" xfId="0" applyAlignment="1" applyBorder="1" applyFont="1" applyNumberFormat="1">
      <alignment shrinkToFit="0" vertical="bottom" wrapText="0"/>
    </xf>
    <xf borderId="7" fillId="4" fontId="7" numFmtId="0" xfId="0" applyAlignment="1" applyBorder="1" applyFont="1">
      <alignment shrinkToFit="0" vertical="bottom" wrapText="0"/>
    </xf>
    <xf borderId="7" fillId="4" fontId="7" numFmtId="166" xfId="0" applyAlignment="1" applyBorder="1" applyFont="1" applyNumberFormat="1">
      <alignment shrinkToFit="0" vertical="bottom" wrapText="0"/>
    </xf>
    <xf borderId="0" fillId="0" fontId="16" numFmtId="0" xfId="0" applyFont="1"/>
    <xf borderId="0" fillId="0" fontId="1" numFmtId="10" xfId="0" applyAlignment="1" applyFont="1" applyNumberFormat="1">
      <alignment shrinkToFit="0" vertical="bottom" wrapText="0"/>
    </xf>
    <xf borderId="0" fillId="0" fontId="1" numFmtId="1" xfId="0" applyAlignment="1" applyFont="1" applyNumberFormat="1">
      <alignment shrinkToFit="0" vertical="bottom" wrapText="0"/>
    </xf>
    <xf borderId="80" fillId="9" fontId="17" numFmtId="0" xfId="0" applyAlignment="1" applyBorder="1" applyFill="1" applyFont="1">
      <alignment shrinkToFit="0" vertical="bottom" wrapText="0"/>
    </xf>
    <xf borderId="81" fillId="9" fontId="18" numFmtId="0" xfId="0" applyAlignment="1" applyBorder="1" applyFont="1">
      <alignment shrinkToFit="0" vertical="bottom" wrapText="0"/>
    </xf>
    <xf borderId="81" fillId="9" fontId="1" numFmtId="0" xfId="0" applyAlignment="1" applyBorder="1" applyFont="1">
      <alignment shrinkToFit="0" vertical="bottom" wrapText="0"/>
    </xf>
    <xf borderId="82" fillId="9" fontId="1" numFmtId="0" xfId="0" applyAlignment="1" applyBorder="1" applyFont="1">
      <alignment shrinkToFit="0" vertical="bottom" wrapText="0"/>
    </xf>
    <xf borderId="80" fillId="8" fontId="1" numFmtId="0" xfId="0" applyAlignment="1" applyBorder="1" applyFont="1">
      <alignment shrinkToFit="0" vertical="bottom" wrapText="0"/>
    </xf>
    <xf borderId="81" fillId="8" fontId="1" numFmtId="0" xfId="0" applyAlignment="1" applyBorder="1" applyFont="1">
      <alignment shrinkToFit="0" vertical="bottom" wrapText="0"/>
    </xf>
    <xf borderId="83" fillId="7" fontId="1" numFmtId="0" xfId="0" applyAlignment="1" applyBorder="1" applyFont="1">
      <alignment shrinkToFit="0" vertical="bottom" wrapText="0"/>
    </xf>
    <xf borderId="82" fillId="8" fontId="1" numFmtId="0" xfId="0" applyAlignment="1" applyBorder="1" applyFont="1">
      <alignment shrinkToFit="0" vertical="bottom" wrapText="0"/>
    </xf>
    <xf borderId="82" fillId="9" fontId="18" numFmtId="0" xfId="0" applyAlignment="1" applyBorder="1" applyFont="1">
      <alignment shrinkToFit="0" vertical="bottom" wrapText="0"/>
    </xf>
    <xf borderId="84" fillId="8" fontId="1" numFmtId="0" xfId="0" applyAlignment="1" applyBorder="1" applyFont="1">
      <alignment shrinkToFit="0" vertical="bottom" wrapText="0"/>
    </xf>
    <xf borderId="85" fillId="8" fontId="1" numFmtId="0" xfId="0" applyAlignment="1" applyBorder="1" applyFont="1">
      <alignment shrinkToFit="0" vertical="bottom" wrapText="0"/>
    </xf>
    <xf borderId="86" fillId="8" fontId="1" numFmtId="0" xfId="0" applyAlignment="1" applyBorder="1" applyFont="1">
      <alignment shrinkToFit="0" vertical="bottom" wrapText="0"/>
    </xf>
    <xf borderId="87" fillId="8" fontId="1" numFmtId="0" xfId="0" applyAlignment="1" applyBorder="1" applyFont="1">
      <alignment shrinkToFit="0" vertical="bottom" wrapText="0"/>
    </xf>
    <xf borderId="7" fillId="8" fontId="1" numFmtId="0" xfId="0" applyAlignment="1" applyBorder="1" applyFont="1">
      <alignment shrinkToFit="0" vertical="bottom" wrapText="0"/>
    </xf>
    <xf borderId="88" fillId="8" fontId="1" numFmtId="0" xfId="0" applyAlignment="1" applyBorder="1" applyFont="1">
      <alignment shrinkToFit="0" vertical="bottom" wrapText="0"/>
    </xf>
    <xf borderId="89" fillId="8" fontId="1" numFmtId="0" xfId="0" applyAlignment="1" applyBorder="1" applyFont="1">
      <alignment shrinkToFit="0" vertical="bottom" wrapText="0"/>
    </xf>
    <xf borderId="90" fillId="8" fontId="1" numFmtId="0" xfId="0" applyAlignment="1" applyBorder="1" applyFont="1">
      <alignment shrinkToFit="0" vertical="bottom" wrapText="0"/>
    </xf>
    <xf borderId="91" fillId="8" fontId="1" numFmtId="0" xfId="0" applyAlignment="1" applyBorder="1" applyFont="1">
      <alignment shrinkToFit="0" vertical="bottom" wrapText="0"/>
    </xf>
    <xf borderId="91" fillId="8" fontId="19" numFmtId="0" xfId="0" applyAlignment="1" applyBorder="1" applyFont="1">
      <alignment shrinkToFit="0" vertical="bottom" wrapText="0"/>
    </xf>
    <xf borderId="89" fillId="8" fontId="11" numFmtId="0" xfId="0" applyAlignment="1" applyBorder="1" applyFont="1">
      <alignment horizontal="center" shrinkToFit="0" vertical="bottom" wrapText="0"/>
    </xf>
    <xf borderId="7" fillId="8" fontId="1" numFmtId="0" xfId="0" applyAlignment="1" applyBorder="1" applyFont="1">
      <alignment horizontal="right" shrinkToFit="0" vertical="bottom" wrapText="0"/>
    </xf>
    <xf borderId="80" fillId="7" fontId="1" numFmtId="0" xfId="0" applyAlignment="1" applyBorder="1" applyFont="1">
      <alignment shrinkToFit="0" vertical="bottom" wrapText="0"/>
    </xf>
    <xf borderId="90" fillId="8" fontId="11" numFmtId="0" xfId="0" applyAlignment="1" applyBorder="1" applyFont="1">
      <alignment horizontal="center" shrinkToFit="0" vertical="bottom" wrapText="0"/>
    </xf>
    <xf borderId="87" fillId="8" fontId="17" numFmtId="0" xfId="0" applyAlignment="1" applyBorder="1" applyFont="1">
      <alignment shrinkToFit="0" vertical="bottom" wrapText="0"/>
    </xf>
    <xf borderId="7" fillId="8" fontId="18" numFmtId="0" xfId="0" applyAlignment="1" applyBorder="1" applyFont="1">
      <alignment shrinkToFit="0" vertical="bottom" wrapText="0"/>
    </xf>
    <xf borderId="7" fillId="8" fontId="1" numFmtId="167" xfId="0" applyAlignment="1" applyBorder="1" applyFont="1" applyNumberFormat="1">
      <alignment horizontal="center" shrinkToFit="0" vertical="bottom" wrapText="0"/>
    </xf>
    <xf borderId="7" fillId="8" fontId="20" numFmtId="0" xfId="0" applyAlignment="1" applyBorder="1" applyFont="1">
      <alignment horizontal="left" shrinkToFit="0" vertical="bottom" wrapText="0"/>
    </xf>
    <xf borderId="83" fillId="7" fontId="1" numFmtId="167" xfId="0" applyAlignment="1" applyBorder="1" applyFont="1" applyNumberFormat="1">
      <alignment horizontal="center" shrinkToFit="0" vertical="bottom" wrapText="0"/>
    </xf>
    <xf borderId="89" fillId="8" fontId="11" numFmtId="0" xfId="0" applyAlignment="1" applyBorder="1" applyFont="1">
      <alignment shrinkToFit="0" vertical="bottom" wrapText="0"/>
    </xf>
    <xf borderId="87" fillId="8" fontId="7" numFmtId="0" xfId="0" applyAlignment="1" applyBorder="1" applyFont="1">
      <alignment shrinkToFit="0" vertical="bottom" wrapText="0"/>
    </xf>
    <xf borderId="7" fillId="8" fontId="21" numFmtId="0" xfId="0" applyAlignment="1" applyBorder="1" applyFont="1">
      <alignment horizontal="center" shrinkToFit="0" vertical="bottom" wrapText="0"/>
    </xf>
    <xf borderId="88" fillId="8" fontId="21" numFmtId="0" xfId="0" applyAlignment="1" applyBorder="1" applyFont="1">
      <alignment horizontal="center" shrinkToFit="0" vertical="bottom" wrapText="0"/>
    </xf>
    <xf borderId="7" fillId="8" fontId="1" numFmtId="167" xfId="0" applyAlignment="1" applyBorder="1" applyFont="1" applyNumberFormat="1">
      <alignment shrinkToFit="0" vertical="bottom" wrapText="0"/>
    </xf>
    <xf borderId="88" fillId="8" fontId="1" numFmtId="167" xfId="0" applyAlignment="1" applyBorder="1" applyFont="1" applyNumberFormat="1">
      <alignment shrinkToFit="0" vertical="bottom" wrapText="0"/>
    </xf>
    <xf borderId="7" fillId="8" fontId="1" numFmtId="166" xfId="0" applyAlignment="1" applyBorder="1" applyFont="1" applyNumberFormat="1">
      <alignment shrinkToFit="0" vertical="bottom" wrapText="0"/>
    </xf>
    <xf borderId="83" fillId="7" fontId="1" numFmtId="166" xfId="0" applyAlignment="1" applyBorder="1" applyFont="1" applyNumberFormat="1">
      <alignment shrinkToFit="0" vertical="bottom" wrapText="0"/>
    </xf>
    <xf borderId="88" fillId="8" fontId="1" numFmtId="166" xfId="0" applyAlignment="1" applyBorder="1" applyFont="1" applyNumberFormat="1">
      <alignment shrinkToFit="0" vertical="bottom" wrapText="0"/>
    </xf>
    <xf borderId="90" fillId="8" fontId="11" numFmtId="167" xfId="0" applyAlignment="1" applyBorder="1" applyFont="1" applyNumberFormat="1">
      <alignment shrinkToFit="0" vertical="bottom" wrapText="0"/>
    </xf>
    <xf borderId="90" fillId="8" fontId="11" numFmtId="166" xfId="0" applyAlignment="1" applyBorder="1" applyFont="1" applyNumberFormat="1">
      <alignment shrinkToFit="0" vertical="bottom" wrapText="0"/>
    </xf>
    <xf borderId="91" fillId="8" fontId="11" numFmtId="0" xfId="0" applyAlignment="1" applyBorder="1" applyFont="1">
      <alignment horizontal="center" shrinkToFit="0" vertical="bottom" wrapText="0"/>
    </xf>
  </cellXfs>
  <cellStyles count="1">
    <cellStyle xfId="0" name="Normal" builtinId="0"/>
  </cellStyles>
  <dxfs count="3">
    <dxf>
      <font/>
      <fill>
        <patternFill patternType="solid">
          <fgColor rgb="FFFFFFFF"/>
          <bgColor rgb="FFFFFFFF"/>
        </patternFill>
      </fill>
      <border/>
    </dxf>
    <dxf>
      <font>
        <color rgb="FFFFFFFF"/>
      </font>
      <fill>
        <patternFill patternType="solid">
          <fgColor rgb="FFFF0000"/>
          <bgColor rgb="FFFF0000"/>
        </patternFill>
      </fill>
      <border/>
    </dxf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342900</xdr:colOff>
      <xdr:row>6</xdr:row>
      <xdr:rowOff>85725</xdr:rowOff>
    </xdr:from>
    <xdr:ext cx="3009900" cy="209550"/>
    <xdr:sp>
      <xdr:nvSpPr>
        <xdr:cNvPr id="3" name="Shape 3"/>
        <xdr:cNvSpPr/>
      </xdr:nvSpPr>
      <xdr:spPr>
        <a:xfrm>
          <a:off x="3845813" y="3679988"/>
          <a:ext cx="3000375" cy="2000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100" u="none" strike="noStrike">
              <a:solidFill>
                <a:srgbClr val="800000"/>
              </a:solidFill>
              <a:latin typeface="Arial"/>
              <a:ea typeface="Arial"/>
              <a:cs typeface="Arial"/>
              <a:sym typeface="Arial"/>
            </a:rPr>
            <a:t>JxTamm v3.0</a:t>
          </a:r>
          <a:r>
            <a:rPr b="1" i="0" lang="en-US" sz="1100" u="none" strike="noStrike">
              <a:solidFill>
                <a:srgbClr val="9999FF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b="1" i="0" lang="en-US" sz="1000" u="sng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www.cbanque.com</a:t>
          </a:r>
          <a:endParaRPr sz="1400"/>
        </a:p>
      </xdr:txBody>
    </xdr:sp>
    <xdr:clientData fLocksWithSheet="0"/>
  </xdr:oneCellAnchor>
  <xdr:oneCellAnchor>
    <xdr:from>
      <xdr:col>7</xdr:col>
      <xdr:colOff>171450</xdr:colOff>
      <xdr:row>0</xdr:row>
      <xdr:rowOff>0</xdr:rowOff>
    </xdr:from>
    <xdr:ext cx="2466975" cy="161925"/>
    <xdr:sp>
      <xdr:nvSpPr>
        <xdr:cNvPr id="4" name="Shape 4"/>
        <xdr:cNvSpPr/>
      </xdr:nvSpPr>
      <xdr:spPr>
        <a:xfrm>
          <a:off x="4117275" y="3703800"/>
          <a:ext cx="2457450" cy="1524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Version réservée à un usage privé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0C0C0"/>
    <pageSetUpPr/>
  </sheetPr>
  <sheetViews>
    <sheetView showGridLines="0" workbookViewId="0">
      <pane ySplit="13.0" topLeftCell="A14" activePane="bottomLeft" state="frozen"/>
      <selection activeCell="B15" sqref="B15" pane="bottomLeft"/>
    </sheetView>
  </sheetViews>
  <sheetFormatPr customHeight="1" defaultColWidth="12.63" defaultRowHeight="15.0"/>
  <cols>
    <col customWidth="1" min="1" max="1" width="1.88"/>
    <col customWidth="1" min="2" max="2" width="11.5"/>
    <col customWidth="1" min="3" max="3" width="12.0"/>
    <col customWidth="1" min="4" max="4" width="11.63"/>
    <col customWidth="1" min="5" max="6" width="11.5"/>
    <col customWidth="1" min="7" max="7" width="2.63"/>
    <col customWidth="1" min="8" max="8" width="7.63"/>
    <col customWidth="1" min="9" max="9" width="5.38"/>
    <col customWidth="1" min="10" max="10" width="6.38"/>
    <col customWidth="1" min="11" max="11" width="11.5"/>
    <col customWidth="1" min="12" max="12" width="11.88"/>
    <col customWidth="1" min="13" max="13" width="11.5"/>
    <col customWidth="1" min="14" max="14" width="12.13"/>
    <col customWidth="1" min="15" max="15" width="11.5"/>
    <col customWidth="1" min="16" max="16" width="12.5"/>
    <col customWidth="1" min="17" max="17" width="4.38"/>
    <col customWidth="1" hidden="1" min="18" max="18" width="11.38"/>
    <col customWidth="1" hidden="1" min="19" max="19" width="15.5"/>
    <col customWidth="1" hidden="1" min="20" max="20" width="10.38"/>
    <col customWidth="1" hidden="1" min="21" max="23" width="13.63"/>
    <col customWidth="1" min="24" max="27" width="11.5"/>
  </cols>
  <sheetData>
    <row r="1" ht="13.5" customHeight="1">
      <c r="A1" s="1"/>
      <c r="B1" s="2"/>
      <c r="C1" s="3"/>
      <c r="D1" s="4"/>
      <c r="E1" s="3"/>
      <c r="F1" s="5"/>
      <c r="G1" s="1"/>
      <c r="H1" s="6"/>
      <c r="I1" s="6"/>
      <c r="J1" s="6"/>
      <c r="K1" s="7"/>
      <c r="L1" s="8"/>
      <c r="M1" s="4"/>
      <c r="N1" s="4"/>
      <c r="O1" s="4"/>
      <c r="P1" s="4"/>
      <c r="Q1" s="4"/>
      <c r="R1" s="9"/>
      <c r="S1" s="10">
        <f>IF(ISERROR('Avancé'!D3),2,'Avancé'!D3)</f>
        <v>0</v>
      </c>
      <c r="T1" s="11">
        <f>IF(Periodicite="M",12)+IF(Periodicite="T",4)+IF(Periodicite="S",2)+IF(Periodicite="A",1)+IF(Periodicite="H",52)+IF(Periodicite="Q",26)+IF(Periodicite="B",24)</f>
        <v>1</v>
      </c>
      <c r="U1" s="12" t="s">
        <v>0</v>
      </c>
      <c r="V1" s="13" t="s">
        <v>1</v>
      </c>
      <c r="W1" s="14" t="s">
        <v>2</v>
      </c>
      <c r="X1" s="1"/>
      <c r="Y1" s="1"/>
      <c r="Z1" s="1"/>
      <c r="AA1" s="1"/>
    </row>
    <row r="2" ht="12.75" customHeight="1">
      <c r="A2" s="1"/>
      <c r="B2" s="15" t="s">
        <v>3</v>
      </c>
      <c r="C2" s="16"/>
      <c r="D2" s="17"/>
      <c r="E2" s="18"/>
      <c r="F2" s="18"/>
      <c r="G2" s="17"/>
      <c r="H2" s="17"/>
      <c r="I2" s="17"/>
      <c r="J2" s="19"/>
      <c r="K2" s="20" t="s">
        <v>4</v>
      </c>
      <c r="L2" s="17"/>
      <c r="M2" s="21"/>
      <c r="N2" s="20" t="s">
        <v>5</v>
      </c>
      <c r="O2" s="22"/>
      <c r="P2" s="19"/>
      <c r="Q2" s="4"/>
      <c r="R2" s="9"/>
      <c r="S2" s="10" t="b">
        <f>IF(ISERROR('Avancé'!I9),TRUE,IF('Avancé'!I9=1,TRUE,FALSE))</f>
        <v>1</v>
      </c>
      <c r="T2" s="11">
        <f>T3*NbEchAn/12</f>
        <v>7</v>
      </c>
      <c r="U2" s="12" t="s">
        <v>6</v>
      </c>
      <c r="V2" s="23">
        <v>2.0</v>
      </c>
      <c r="W2" s="1">
        <v>4.0</v>
      </c>
      <c r="X2" s="1"/>
      <c r="Y2" s="1"/>
      <c r="Z2" s="1"/>
      <c r="AA2" s="1"/>
    </row>
    <row r="3" ht="12.75" customHeight="1">
      <c r="A3" s="1"/>
      <c r="B3" s="24"/>
      <c r="C3" s="25" t="s">
        <v>7</v>
      </c>
      <c r="D3" s="26">
        <v>40000.0</v>
      </c>
      <c r="E3" s="25" t="s">
        <v>8</v>
      </c>
      <c r="F3" s="27">
        <v>7.0</v>
      </c>
      <c r="G3" s="28" t="s">
        <v>9</v>
      </c>
      <c r="H3" s="28"/>
      <c r="I3" s="28"/>
      <c r="J3" s="29"/>
      <c r="K3" s="30" t="s">
        <v>10</v>
      </c>
      <c r="L3" s="28"/>
      <c r="M3" s="31"/>
      <c r="N3" s="32" t="s">
        <v>11</v>
      </c>
      <c r="O3" s="33"/>
      <c r="P3" s="34">
        <f>MAX(K14:K447)</f>
        <v>48731</v>
      </c>
      <c r="Q3" s="4"/>
      <c r="R3" s="35"/>
      <c r="S3" s="10">
        <f>IF(ISERROR('Avancé'!D17),99999,'Avancé'!D17)</f>
        <v>99999</v>
      </c>
      <c r="T3" s="11">
        <f>F3*12+F4</f>
        <v>84</v>
      </c>
      <c r="U3" s="12" t="s">
        <v>12</v>
      </c>
      <c r="V3" s="23" t="b">
        <f>V2=1</f>
        <v>0</v>
      </c>
      <c r="W3" s="1" t="s">
        <v>13</v>
      </c>
      <c r="X3" s="1"/>
      <c r="Y3" s="1"/>
      <c r="Z3" s="1"/>
      <c r="AA3" s="1"/>
    </row>
    <row r="4" ht="13.5" customHeight="1">
      <c r="A4" s="1"/>
      <c r="B4" s="24"/>
      <c r="C4" s="36"/>
      <c r="D4" s="28"/>
      <c r="E4" s="37" t="s">
        <v>14</v>
      </c>
      <c r="F4" s="27">
        <v>0.0</v>
      </c>
      <c r="G4" s="28" t="s">
        <v>15</v>
      </c>
      <c r="H4" s="28"/>
      <c r="I4" s="28"/>
      <c r="J4" s="29"/>
      <c r="K4" s="38" t="s">
        <v>16</v>
      </c>
      <c r="L4" s="39"/>
      <c r="M4" s="40"/>
      <c r="N4" s="32" t="s">
        <v>17</v>
      </c>
      <c r="O4" s="33"/>
      <c r="P4" s="29">
        <f>MAX(H14:H447)</f>
        <v>8</v>
      </c>
      <c r="Q4" s="4"/>
      <c r="R4" s="9"/>
      <c r="S4" s="10">
        <f>IF(ISERROR('Avancé'!E17),99999,'Avancé'!E17)</f>
        <v>99999</v>
      </c>
      <c r="T4" s="41">
        <f>IF(TauxActuariel,((D5+1)^(1/NbEchAn))-1,D5/NbEchAn)</f>
        <v>0.04</v>
      </c>
      <c r="U4" s="12" t="s">
        <v>18</v>
      </c>
      <c r="V4" s="42" t="s">
        <v>19</v>
      </c>
      <c r="W4" s="1" t="s">
        <v>20</v>
      </c>
      <c r="X4" s="1"/>
      <c r="Y4" s="1"/>
      <c r="Z4" s="1"/>
      <c r="AA4" s="1"/>
    </row>
    <row r="5" ht="12.75" customHeight="1">
      <c r="A5" s="1"/>
      <c r="B5" s="24"/>
      <c r="C5" s="25" t="s">
        <v>21</v>
      </c>
      <c r="D5" s="43">
        <v>0.04</v>
      </c>
      <c r="E5" s="36"/>
      <c r="F5" s="44" t="s">
        <v>22</v>
      </c>
      <c r="G5" s="45"/>
      <c r="H5" s="45" t="s">
        <v>23</v>
      </c>
      <c r="I5" s="45"/>
      <c r="J5" s="46"/>
      <c r="K5" s="20" t="s">
        <v>19</v>
      </c>
      <c r="L5" s="17"/>
      <c r="M5" s="21"/>
      <c r="N5" s="32" t="s">
        <v>24</v>
      </c>
      <c r="O5" s="33"/>
      <c r="P5" s="47">
        <f>SUM(M14:M447)</f>
        <v>6651</v>
      </c>
      <c r="Q5" s="4"/>
      <c r="R5" s="9"/>
      <c r="S5" s="48">
        <f>IF(1&lt;=NoEchMaxi,IF(ISERROR('Avancé'!D37),ROUND(L15*R15,NbDeci),'Avancé'!D37),0)</f>
        <v>1600</v>
      </c>
      <c r="T5" s="49">
        <f>0+IF(Periodicite="M",1)+IF(Periodicite="T",3)+IF(Periodicite="S",6)+IF(Periodicite="A",12)+IF(Periodicite="B",0.5)</f>
        <v>12</v>
      </c>
      <c r="U5" s="12" t="s">
        <v>25</v>
      </c>
      <c r="V5" s="50">
        <v>1.0</v>
      </c>
      <c r="W5" s="1" t="s">
        <v>26</v>
      </c>
      <c r="X5" s="1"/>
      <c r="Y5" s="1"/>
      <c r="Z5" s="1"/>
      <c r="AA5" s="1"/>
    </row>
    <row r="6" ht="12.75" customHeight="1">
      <c r="A6" s="1"/>
      <c r="B6" s="24"/>
      <c r="C6" s="36"/>
      <c r="D6" s="28"/>
      <c r="E6" s="36"/>
      <c r="F6" s="51">
        <v>46174.0</v>
      </c>
      <c r="G6" s="28"/>
      <c r="H6" s="28"/>
      <c r="I6" s="28"/>
      <c r="J6" s="29"/>
      <c r="K6" s="30"/>
      <c r="L6" s="28"/>
      <c r="M6" s="29"/>
      <c r="N6" s="32" t="s">
        <v>27</v>
      </c>
      <c r="O6" s="33"/>
      <c r="P6" s="47">
        <f>SUM(N14:N447)-SUMIF(C14:C447,"&lt;0")</f>
        <v>40000</v>
      </c>
      <c r="Q6" s="4"/>
      <c r="R6" s="9"/>
      <c r="S6" s="48">
        <f>IF(1&gt;NoEchMaxi,0,IF(ISERROR('Avancé'!E37),IF(1&lt;=Différé,IF(DiffTotal,-INT1E,0),IF(1&gt;=NoEchRemb,L15,IF(S15-(M15*EchFIXE)&gt;L15-2,L15,S15-(M15*EchFIXE))))+C15,'Avancé'!E37))</f>
        <v>5064</v>
      </c>
      <c r="T6" s="11">
        <f>0+IF(Periodicite="H",7)+IF(Periodicite="Q",14)</f>
        <v>0</v>
      </c>
      <c r="U6" s="12" t="s">
        <v>28</v>
      </c>
      <c r="V6" s="50" t="b">
        <f>IF(Différé&gt;0,V5=1,FALSE)</f>
        <v>0</v>
      </c>
      <c r="W6" s="1" t="s">
        <v>29</v>
      </c>
      <c r="X6" s="1"/>
      <c r="Y6" s="1"/>
      <c r="Z6" s="1"/>
      <c r="AA6" s="1"/>
    </row>
    <row r="7" ht="12.75" customHeight="1">
      <c r="A7" s="1"/>
      <c r="B7" s="52"/>
      <c r="C7" s="36"/>
      <c r="D7" s="28"/>
      <c r="E7" s="36"/>
      <c r="F7" s="36"/>
      <c r="G7" s="28"/>
      <c r="H7" s="28"/>
      <c r="I7" s="28"/>
      <c r="J7" s="29"/>
      <c r="K7" s="30" t="s">
        <v>30</v>
      </c>
      <c r="L7" s="28"/>
      <c r="M7" s="53">
        <v>0.0</v>
      </c>
      <c r="N7" s="32" t="s">
        <v>31</v>
      </c>
      <c r="O7" s="33"/>
      <c r="P7" s="47">
        <f>SUM(O14:O447)</f>
        <v>0</v>
      </c>
      <c r="Q7" s="4"/>
      <c r="R7" s="9"/>
      <c r="S7" s="54">
        <f>IF(ISERROR('Avancé'!C37),IF(Ijour=0,MIN(DATE(YEAR(DebAmort),MONTH(DebAmort)-MoisD-Imois,Jour2),DATE(YEAR(DebAmort),MONTH(DebAmort)-MoisD+1-Imois,0)),DATE(YEAR(DebAmort),MONTH(DebAmort),Jour1-Ijour)),'Avancé'!C37)</f>
        <v>45809</v>
      </c>
      <c r="T7" s="11">
        <f>DAY(DebAmort)</f>
        <v>1</v>
      </c>
      <c r="U7" s="12" t="s">
        <v>32</v>
      </c>
      <c r="V7" s="50" t="b">
        <f>IF(Différé&gt;0,V5=2,FALSE)</f>
        <v>0</v>
      </c>
      <c r="W7" s="1" t="s">
        <v>33</v>
      </c>
      <c r="X7" s="1"/>
      <c r="Y7" s="1"/>
      <c r="Z7" s="1"/>
      <c r="AA7" s="1"/>
    </row>
    <row r="8" ht="13.5" customHeight="1">
      <c r="A8" s="1"/>
      <c r="B8" s="55"/>
      <c r="C8" s="56" t="str">
        <f>IF(EchFIXE,"Montant échéance fixe :","Capital / échéance :")</f>
        <v>Montant échéance fixe :</v>
      </c>
      <c r="D8" s="57">
        <f>IF(OR(D5=0,NOT(EchFIXE)),ROUND(MtEmprunt/NbEch,NbDeci),ROUND(MtEmprunt*TxPer/(1-((1+TxPer)^-NbEch)),NbDeci))</f>
        <v>6664</v>
      </c>
      <c r="E8" s="58"/>
      <c r="F8" s="58"/>
      <c r="G8" s="39"/>
      <c r="H8" s="39"/>
      <c r="I8" s="39"/>
      <c r="J8" s="59"/>
      <c r="K8" s="38" t="s">
        <v>34</v>
      </c>
      <c r="L8" s="39"/>
      <c r="M8" s="60">
        <v>40000.0</v>
      </c>
      <c r="N8" s="61" t="s">
        <v>35</v>
      </c>
      <c r="O8" s="62"/>
      <c r="P8" s="63">
        <f>SUM(P5:P7)</f>
        <v>46651</v>
      </c>
      <c r="Q8" s="4"/>
      <c r="R8" s="9"/>
      <c r="S8" s="48"/>
      <c r="T8" s="11">
        <f>IF(Periodicite="B",IF(T7&gt;15,MIN(T7-15,15),T7+15),T7)</f>
        <v>1</v>
      </c>
      <c r="U8" s="12" t="s">
        <v>36</v>
      </c>
      <c r="V8" s="64">
        <f>M7*NbEchAn/12</f>
        <v>0</v>
      </c>
      <c r="W8" s="1" t="s">
        <v>37</v>
      </c>
      <c r="X8" s="1"/>
      <c r="Y8" s="1"/>
      <c r="Z8" s="1"/>
      <c r="AA8" s="1"/>
    </row>
    <row r="9" ht="13.5" customHeight="1">
      <c r="A9" s="1"/>
      <c r="B9" s="1"/>
      <c r="C9" s="3"/>
      <c r="D9" s="1"/>
      <c r="E9" s="14"/>
      <c r="F9" s="14"/>
      <c r="G9" s="1"/>
      <c r="H9" s="65"/>
      <c r="I9" s="65"/>
      <c r="J9" s="65"/>
      <c r="K9" s="1"/>
      <c r="L9" s="1"/>
      <c r="M9" s="1"/>
      <c r="N9" s="1"/>
      <c r="O9" s="1"/>
      <c r="P9" s="1"/>
      <c r="Q9" s="1"/>
      <c r="R9" s="9"/>
      <c r="S9" s="48"/>
      <c r="T9" s="11">
        <f>IF(Jour2&lt;Jour1,1,0)</f>
        <v>0</v>
      </c>
      <c r="U9" s="12" t="s">
        <v>38</v>
      </c>
      <c r="V9" s="66" t="s">
        <v>39</v>
      </c>
      <c r="W9" s="1" t="s">
        <v>40</v>
      </c>
      <c r="X9" s="1"/>
      <c r="Y9" s="1"/>
      <c r="Z9" s="1"/>
      <c r="AA9" s="1"/>
    </row>
    <row r="10" ht="13.5" customHeight="1">
      <c r="A10" s="1"/>
      <c r="B10" s="67" t="s">
        <v>41</v>
      </c>
      <c r="C10" s="68"/>
      <c r="D10" s="68"/>
      <c r="E10" s="68"/>
      <c r="F10" s="69"/>
      <c r="G10" s="1"/>
      <c r="H10" s="70" t="s">
        <v>42</v>
      </c>
      <c r="I10" s="68"/>
      <c r="J10" s="68"/>
      <c r="K10" s="68"/>
      <c r="L10" s="68"/>
      <c r="M10" s="68"/>
      <c r="N10" s="68"/>
      <c r="O10" s="68"/>
      <c r="P10" s="69"/>
      <c r="Q10" s="1"/>
      <c r="R10" s="71" t="s">
        <v>43</v>
      </c>
      <c r="S10" s="69"/>
      <c r="T10" s="1"/>
      <c r="U10" s="1"/>
      <c r="V10" s="72">
        <f>D3</f>
        <v>40000</v>
      </c>
      <c r="W10" s="73" t="str">
        <f t="array" ref="W10">UPPER(LEFT(INDEX(W3:W9,W2,1)))</f>
        <v>A</v>
      </c>
      <c r="X10" s="1"/>
      <c r="Y10" s="1"/>
      <c r="Z10" s="1"/>
      <c r="AA10" s="1"/>
    </row>
    <row r="11" ht="12.75" customHeight="1">
      <c r="A11" s="1"/>
      <c r="B11" s="74">
        <f>COUNTIF(B15:B447,"&gt;0")</f>
        <v>0</v>
      </c>
      <c r="C11" s="75">
        <f>COUNTIF(C15:C447,"&gt;0")+COUNTIF(C15:C447,"&lt;0")</f>
        <v>0</v>
      </c>
      <c r="D11" s="75">
        <f t="shared" ref="D11:E11" si="1">COUNTIF(D15:D447,"&gt;0")</f>
        <v>0</v>
      </c>
      <c r="E11" s="75">
        <f t="shared" si="1"/>
        <v>0</v>
      </c>
      <c r="F11" s="76">
        <f>COUNTIF(F14:F447,"&gt;0")</f>
        <v>0</v>
      </c>
      <c r="G11" s="1"/>
      <c r="H11" s="77"/>
      <c r="I11" s="78" t="s">
        <v>44</v>
      </c>
      <c r="J11" s="79"/>
      <c r="K11" s="80" t="s">
        <v>45</v>
      </c>
      <c r="L11" s="81" t="s">
        <v>46</v>
      </c>
      <c r="M11" s="82" t="s">
        <v>47</v>
      </c>
      <c r="N11" s="80" t="s">
        <v>48</v>
      </c>
      <c r="O11" s="80" t="s">
        <v>49</v>
      </c>
      <c r="P11" s="83" t="s">
        <v>50</v>
      </c>
      <c r="Q11" s="1"/>
      <c r="R11" s="84" t="s">
        <v>18</v>
      </c>
      <c r="S11" s="85" t="s">
        <v>51</v>
      </c>
      <c r="T11" s="1"/>
      <c r="U11" s="1"/>
      <c r="V11" s="72">
        <f t="array" ref="V11">INDEX(L15:L996,Différé+1,1)</f>
        <v>40000</v>
      </c>
      <c r="W11" s="1"/>
      <c r="X11" s="1"/>
      <c r="Y11" s="1"/>
      <c r="Z11" s="1"/>
      <c r="AA11" s="1"/>
    </row>
    <row r="12" ht="12.75" customHeight="1">
      <c r="A12" s="1"/>
      <c r="B12" s="86" t="s">
        <v>52</v>
      </c>
      <c r="C12" s="87" t="s">
        <v>53</v>
      </c>
      <c r="D12" s="88" t="s">
        <v>54</v>
      </c>
      <c r="E12" s="87" t="s">
        <v>55</v>
      </c>
      <c r="F12" s="89" t="s">
        <v>56</v>
      </c>
      <c r="G12" s="90"/>
      <c r="H12" s="91" t="s">
        <v>57</v>
      </c>
      <c r="I12" s="92"/>
      <c r="J12" s="93" t="s">
        <v>58</v>
      </c>
      <c r="K12" s="92"/>
      <c r="L12" s="94"/>
      <c r="M12" s="95"/>
      <c r="N12" s="92"/>
      <c r="O12" s="92"/>
      <c r="P12" s="96"/>
      <c r="Q12" s="90"/>
      <c r="R12" s="97"/>
      <c r="S12" s="98"/>
      <c r="T12" s="1"/>
      <c r="U12" s="1"/>
      <c r="V12" s="99">
        <f>IF(DiffTotal,V11,V10)</f>
        <v>40000</v>
      </c>
      <c r="W12" s="1"/>
      <c r="X12" s="1"/>
      <c r="Y12" s="1"/>
      <c r="Z12" s="1"/>
      <c r="AA12" s="100"/>
    </row>
    <row r="13" ht="12.75" customHeight="1">
      <c r="A13" s="90"/>
      <c r="B13" s="101"/>
      <c r="C13" s="102"/>
      <c r="D13" s="102"/>
      <c r="E13" s="102"/>
      <c r="F13" s="103"/>
      <c r="G13" s="90"/>
      <c r="H13" s="104" t="s">
        <v>59</v>
      </c>
      <c r="I13" s="105"/>
      <c r="J13" s="106"/>
      <c r="K13" s="105"/>
      <c r="L13" s="107"/>
      <c r="M13" s="108"/>
      <c r="N13" s="105"/>
      <c r="O13" s="105"/>
      <c r="P13" s="109"/>
      <c r="Q13" s="90"/>
      <c r="R13" s="110"/>
      <c r="S13" s="111"/>
      <c r="T13" s="1"/>
      <c r="U13" s="1"/>
      <c r="V13" s="1"/>
      <c r="W13" s="1"/>
      <c r="X13" s="1"/>
      <c r="Y13" s="1"/>
      <c r="Z13" s="1"/>
      <c r="AA13" s="1"/>
    </row>
    <row r="14" ht="13.5" customHeight="1">
      <c r="A14" s="90"/>
      <c r="B14" s="112"/>
      <c r="C14" s="113">
        <f>IF(M8&gt;0,-M8,-D3)</f>
        <v>-40000</v>
      </c>
      <c r="D14" s="114" t="s">
        <v>34</v>
      </c>
      <c r="E14" s="115"/>
      <c r="F14" s="116"/>
      <c r="G14" s="1"/>
      <c r="H14" s="117">
        <v>0.0</v>
      </c>
      <c r="I14" s="118"/>
      <c r="J14" s="119">
        <f t="shared" ref="J14:J447" si="2">IF(ISNUMBER(K14),YEAR(K14),"")</f>
        <v>2025</v>
      </c>
      <c r="K14" s="120">
        <f>DATDB</f>
        <v>45809</v>
      </c>
      <c r="L14" s="121">
        <v>0.0</v>
      </c>
      <c r="M14" s="122"/>
      <c r="N14" s="121">
        <f>C14</f>
        <v>-40000</v>
      </c>
      <c r="O14" s="121" t="str">
        <f>F14</f>
        <v/>
      </c>
      <c r="P14" s="123">
        <f t="shared" ref="P14:P447" si="3">SUM(M14:O14)</f>
        <v>-40000</v>
      </c>
      <c r="Q14" s="90"/>
      <c r="R14" s="124"/>
      <c r="S14" s="125"/>
      <c r="T14" s="90"/>
      <c r="U14" s="90"/>
      <c r="V14" s="90"/>
      <c r="W14" s="90"/>
      <c r="X14" s="90"/>
      <c r="Y14" s="90"/>
      <c r="Z14" s="90"/>
      <c r="AA14" s="90"/>
    </row>
    <row r="15" ht="12.75" customHeight="1">
      <c r="A15" s="90"/>
      <c r="B15" s="126"/>
      <c r="C15" s="127"/>
      <c r="D15" s="128"/>
      <c r="E15" s="129"/>
      <c r="F15" s="130"/>
      <c r="G15" s="1"/>
      <c r="H15" s="131">
        <f t="shared" ref="H15:H447" si="4">IF(L15=0,"",H14+1)</f>
        <v>1</v>
      </c>
      <c r="I15" s="132">
        <f>IF(L15&gt;0,NbEch+Différé+1-H15,"")</f>
        <v>7</v>
      </c>
      <c r="J15" s="132">
        <f t="shared" si="2"/>
        <v>2026</v>
      </c>
      <c r="K15" s="133">
        <f>DATE(YEAR(DebAmort),MONTH(DebAmort),DAY(DebAmort))</f>
        <v>46174</v>
      </c>
      <c r="L15" s="134">
        <f t="shared" ref="L15:L447" si="5">L14-N14</f>
        <v>40000</v>
      </c>
      <c r="M15" s="135">
        <f>INT1E</f>
        <v>1600</v>
      </c>
      <c r="N15" s="134">
        <f>CAP1E+C15</f>
        <v>5064</v>
      </c>
      <c r="O15" s="136">
        <f>IF(OR(L15=0,H15&gt;NoEchMaxi),0,ROUND(FraisF+FraisV*L15,NbDeci))+F15</f>
        <v>0</v>
      </c>
      <c r="P15" s="137">
        <f t="shared" si="3"/>
        <v>6664</v>
      </c>
      <c r="Q15" s="1"/>
      <c r="R15" s="138">
        <f>IF(B15&gt;0,IF(TauxActuariel,((B15+1)^(1/NbEchAn))-1,B15/NbEchAn),TxPer)</f>
        <v>0.04</v>
      </c>
      <c r="S15" s="139">
        <f>IF(E15&gt;0,E15,IF(D15&gt;0,IF(AND(EchFIXE,R15&gt;0),ROUND((L15-C15)*R15/(1-((1+R15)^-D15)),NbDeci),ROUND(L15/D15,NbDeci)),MtEch))</f>
        <v>6664</v>
      </c>
      <c r="T15" s="90"/>
      <c r="U15" s="90"/>
      <c r="V15" s="90"/>
      <c r="W15" s="90"/>
      <c r="X15" s="90"/>
      <c r="Y15" s="14">
        <f>3000*(1+2%)^15</f>
        <v>4037.605015</v>
      </c>
      <c r="Z15" s="90"/>
      <c r="AA15" s="90"/>
    </row>
    <row r="16" ht="13.5" customHeight="1">
      <c r="A16" s="1"/>
      <c r="B16" s="140"/>
      <c r="C16" s="141"/>
      <c r="D16" s="142"/>
      <c r="E16" s="143"/>
      <c r="F16" s="144"/>
      <c r="G16" s="1"/>
      <c r="H16" s="131">
        <f t="shared" si="4"/>
        <v>2</v>
      </c>
      <c r="I16" s="132">
        <f>IF(L16&gt;0,NbEch+Différé+1-H16,"")</f>
        <v>6</v>
      </c>
      <c r="J16" s="145">
        <f t="shared" si="2"/>
        <v>2027</v>
      </c>
      <c r="K16" s="146">
        <f>IF(L16=0,"",IF(Ijour=0,MIN(DATE(YEAR(DebAmort),MONTH(DebAmort)+MoisD+(H16-1)*Imois,Jour2),DATE(YEAR(DebAmort),MONTH(DebAmort)+MoisD+1+(H16-1)*Imois,0)),DATE(YEAR(DebAmort),MONTH(DebAmort),Jour1+(H16-1)*Ijour)))</f>
        <v>46539</v>
      </c>
      <c r="L16" s="147">
        <f t="shared" si="5"/>
        <v>34936</v>
      </c>
      <c r="M16" s="135">
        <f>IF(H16&lt;=NoEchMaxi,ROUND(L16*R16,NbDeci),0)</f>
        <v>1397</v>
      </c>
      <c r="N16" s="134">
        <f>IF(OR(H16&lt;=Différé,H16&gt;NoEchMaxi),IF(DiffTotal,-M16,0),IF(H16&gt;=NoEchRemb,L16,IF(S16-(M16*EchFIXE)&gt;L16-2,L16,S16-(M16*EchFIXE))))+C16</f>
        <v>5267</v>
      </c>
      <c r="O16" s="136">
        <f>IF(OR(L16=0,H16&gt;NoEchMaxi),0,ROUND(FraisF+FraisV*L16,NbDeci))+F16</f>
        <v>0</v>
      </c>
      <c r="P16" s="148">
        <f t="shared" si="3"/>
        <v>6664</v>
      </c>
      <c r="Q16" s="1"/>
      <c r="R16" s="138">
        <f>IF(B16&gt;0,IF(TauxActuariel,((B16+1)^(1/NbEchAn))-1,B16/NbEchAn),R15)</f>
        <v>0.04</v>
      </c>
      <c r="S16" s="139">
        <f>IF(E16&gt;0,E16,IF(D16&gt;0,IF(AND(EchFIXE,R16&gt;0),ROUND((L16-C16)*R16/(1-((1+R16)^-D16)),NbDeci),ROUND(L16/D16,NbDeci)),S15))</f>
        <v>6664</v>
      </c>
      <c r="T16" s="90"/>
      <c r="U16" s="90"/>
      <c r="V16" s="90"/>
      <c r="W16" s="90"/>
      <c r="X16" s="90"/>
      <c r="Y16" s="14"/>
      <c r="Z16" s="90"/>
      <c r="AA16" s="90"/>
    </row>
    <row r="17" ht="12.75" customHeight="1">
      <c r="A17" s="1"/>
      <c r="B17" s="140"/>
      <c r="C17" s="141"/>
      <c r="D17" s="142"/>
      <c r="E17" s="143"/>
      <c r="F17" s="144"/>
      <c r="G17" s="1"/>
      <c r="H17" s="131">
        <f t="shared" si="4"/>
        <v>3</v>
      </c>
      <c r="I17" s="132">
        <f>IF(L17&gt;0,NbEch+Différé+1-H17,"")</f>
        <v>5</v>
      </c>
      <c r="J17" s="145">
        <f t="shared" si="2"/>
        <v>2028</v>
      </c>
      <c r="K17" s="146">
        <f>IF(L17=0,"",IF(Ijour=0,MIN(DATE(YEAR(DebAmort),MONTH(DebAmort)+(H17-1)*Imois,Jour1),DATE(YEAR(DebAmort),MONTH(DebAmort)+1+(H17-1)*Imois,0)),DATE(YEAR(DebAmort),MONTH(DebAmort),Jour1+(H17-1)*Ijour)))</f>
        <v>46905</v>
      </c>
      <c r="L17" s="147">
        <f t="shared" si="5"/>
        <v>29669</v>
      </c>
      <c r="M17" s="135">
        <f>IF(H17&lt;=NoEchMaxi,ROUND(L17*R17,NbDeci),0)</f>
        <v>1187</v>
      </c>
      <c r="N17" s="134">
        <f>IF(OR(H17&lt;=Différé,H17&gt;NoEchMaxi),IF(DiffTotal,-M17,0),IF(H17&gt;=NoEchRemb,L17,IF(S17-(M17*EchFIXE)&gt;L17-2,L17,S17-(M17*EchFIXE))))+C17</f>
        <v>5477</v>
      </c>
      <c r="O17" s="136">
        <f>IF(OR(L17=0,H17&gt;NoEchMaxi),0,ROUND(FraisF+FraisV*L17,NbDeci))+F17</f>
        <v>0</v>
      </c>
      <c r="P17" s="148">
        <f t="shared" si="3"/>
        <v>6664</v>
      </c>
      <c r="Q17" s="1"/>
      <c r="R17" s="138">
        <f>IF(B17&gt;0,IF(TauxActuariel,((B17+1)^(1/NbEchAn))-1,B17/NbEchAn),R16)</f>
        <v>0.04</v>
      </c>
      <c r="S17" s="139">
        <f>IF(E17&gt;0,E17,IF(D17&gt;0,IF(AND(EchFIXE,R17&gt;0),ROUND((L17-C17)*R17/(1-((1+R17)^-D17)),NbDeci),ROUND(L17/D17,NbDeci)),S16))</f>
        <v>6664</v>
      </c>
      <c r="T17" s="1"/>
      <c r="U17" s="1"/>
      <c r="V17" s="1"/>
      <c r="W17" s="1"/>
      <c r="X17" s="90"/>
      <c r="Y17" s="14">
        <f t="shared" ref="Y17:Y18" si="6">3000*(1+2%)^15</f>
        <v>4037.605015</v>
      </c>
      <c r="Z17" s="1"/>
      <c r="AA17" s="1"/>
    </row>
    <row r="18" ht="12.75" customHeight="1">
      <c r="A18" s="1"/>
      <c r="B18" s="140"/>
      <c r="C18" s="141"/>
      <c r="D18" s="142"/>
      <c r="E18" s="143"/>
      <c r="F18" s="144"/>
      <c r="G18" s="1"/>
      <c r="H18" s="131">
        <f t="shared" si="4"/>
        <v>4</v>
      </c>
      <c r="I18" s="132">
        <f>IF(L18&gt;0,NbEch+Différé+1-H18,"")</f>
        <v>4</v>
      </c>
      <c r="J18" s="145">
        <f t="shared" si="2"/>
        <v>2029</v>
      </c>
      <c r="K18" s="146">
        <f>IF(L18=0,"",IF(Ijour=0,MIN(DATE(YEAR(DebAmort),MONTH(DebAmort)+MoisD+(H18-1)*Imois,Jour2),DATE(YEAR(DebAmort),MONTH(DebAmort)+MoisD+1+(H18-1)*Imois,0)),DATE(YEAR(DebAmort),MONTH(DebAmort),Jour1+(H18-1)*Ijour)))</f>
        <v>47270</v>
      </c>
      <c r="L18" s="147">
        <f t="shared" si="5"/>
        <v>24192</v>
      </c>
      <c r="M18" s="135">
        <f>IF(H18&lt;=NoEchMaxi,ROUND(L18*R18,NbDeci),0)</f>
        <v>968</v>
      </c>
      <c r="N18" s="134">
        <f>IF(OR(H18&lt;=Différé,H18&gt;NoEchMaxi),IF(DiffTotal,-M18,0),IF(H18&gt;=NoEchRemb,L18,IF(S18-(M18*EchFIXE)&gt;L18-2,L18,S18-(M18*EchFIXE))))+C18</f>
        <v>5696</v>
      </c>
      <c r="O18" s="136">
        <f>IF(OR(L18=0,H18&gt;NoEchMaxi),0,ROUND(FraisF+FraisV*L18,NbDeci))+F18</f>
        <v>0</v>
      </c>
      <c r="P18" s="148">
        <f t="shared" si="3"/>
        <v>6664</v>
      </c>
      <c r="Q18" s="1"/>
      <c r="R18" s="138">
        <f>IF(B18&gt;0,IF(TauxActuariel,((B18+1)^(1/NbEchAn))-1,B18/NbEchAn),R17)</f>
        <v>0.04</v>
      </c>
      <c r="S18" s="139">
        <f>IF(E18&gt;0,E18,IF(D18&gt;0,IF(AND(EchFIXE,R18&gt;0),ROUND((L18-C18)*R18/(1-((1+R18)^-D18)),NbDeci),ROUND(L18/D18,NbDeci)),S17))</f>
        <v>6664</v>
      </c>
      <c r="T18" s="1"/>
      <c r="U18" s="1"/>
      <c r="V18" s="1"/>
      <c r="W18" s="1"/>
      <c r="X18" s="90"/>
      <c r="Y18" s="14">
        <f t="shared" si="6"/>
        <v>4037.605015</v>
      </c>
      <c r="Z18" s="1"/>
      <c r="AA18" s="1"/>
    </row>
    <row r="19" ht="12.75" customHeight="1">
      <c r="A19" s="1"/>
      <c r="B19" s="140"/>
      <c r="C19" s="141"/>
      <c r="D19" s="142"/>
      <c r="E19" s="143"/>
      <c r="F19" s="144"/>
      <c r="G19" s="1"/>
      <c r="H19" s="131">
        <f t="shared" si="4"/>
        <v>5</v>
      </c>
      <c r="I19" s="132">
        <f>IF(L19&gt;0,NbEch+Différé+1-H19,"")</f>
        <v>3</v>
      </c>
      <c r="J19" s="145">
        <f t="shared" si="2"/>
        <v>2030</v>
      </c>
      <c r="K19" s="146">
        <f>IF(L19=0,"",IF(Ijour=0,MIN(DATE(YEAR(DebAmort),MONTH(DebAmort)+(H19-1)*Imois,Jour1),DATE(YEAR(DebAmort),MONTH(DebAmort)+1+(H19-1)*Imois,0)),DATE(YEAR(DebAmort),MONTH(DebAmort),Jour1+(H19-1)*Ijour)))</f>
        <v>47635</v>
      </c>
      <c r="L19" s="147">
        <f t="shared" si="5"/>
        <v>18496</v>
      </c>
      <c r="M19" s="135">
        <f>IF(H19&lt;=NoEchMaxi,ROUND(L19*R19,NbDeci),0)</f>
        <v>740</v>
      </c>
      <c r="N19" s="134">
        <f>IF(OR(H19&lt;=Différé,H19&gt;NoEchMaxi),IF(DiffTotal,-M19,0),IF(H19&gt;=NoEchRemb,L19,IF(S19-(M19*EchFIXE)&gt;L19-2,L19,S19-(M19*EchFIXE))))+C19</f>
        <v>5924</v>
      </c>
      <c r="O19" s="136">
        <f>IF(OR(L19=0,H19&gt;NoEchMaxi),0,ROUND(FraisF+FraisV*L19,NbDeci))+F19</f>
        <v>0</v>
      </c>
      <c r="P19" s="148">
        <f t="shared" si="3"/>
        <v>6664</v>
      </c>
      <c r="Q19" s="1"/>
      <c r="R19" s="138">
        <f>IF(B19&gt;0,IF(TauxActuariel,((B19+1)^(1/NbEchAn))-1,B19/NbEchAn),R18)</f>
        <v>0.04</v>
      </c>
      <c r="S19" s="139">
        <f>IF(E19&gt;0,E19,IF(D19&gt;0,IF(AND(EchFIXE,R19&gt;0),ROUND((L19-C19)*R19/(1-((1+R19)^-D19)),NbDeci),ROUND(L19/D19,NbDeci)),S18))</f>
        <v>6664</v>
      </c>
      <c r="T19" s="1"/>
      <c r="U19" s="1"/>
      <c r="V19" s="1"/>
      <c r="W19" s="1"/>
      <c r="X19" s="90"/>
      <c r="Y19" s="1"/>
      <c r="Z19" s="1"/>
      <c r="AA19" s="1"/>
    </row>
    <row r="20" ht="12.75" customHeight="1">
      <c r="A20" s="1"/>
      <c r="B20" s="140"/>
      <c r="C20" s="141"/>
      <c r="D20" s="142"/>
      <c r="E20" s="143"/>
      <c r="F20" s="144"/>
      <c r="G20" s="1"/>
      <c r="H20" s="131">
        <f t="shared" si="4"/>
        <v>6</v>
      </c>
      <c r="I20" s="132">
        <f>IF(L20&gt;0,NbEch+Différé+1-H20,"")</f>
        <v>2</v>
      </c>
      <c r="J20" s="145">
        <f t="shared" si="2"/>
        <v>2031</v>
      </c>
      <c r="K20" s="146">
        <f>IF(L20=0,"",IF(Ijour=0,MIN(DATE(YEAR(DebAmort),MONTH(DebAmort)+MoisD+(H20-1)*Imois,Jour2),DATE(YEAR(DebAmort),MONTH(DebAmort)+MoisD+1+(H20-1)*Imois,0)),DATE(YEAR(DebAmort),MONTH(DebAmort),Jour1+(H20-1)*Ijour)))</f>
        <v>48000</v>
      </c>
      <c r="L20" s="147">
        <f t="shared" si="5"/>
        <v>12572</v>
      </c>
      <c r="M20" s="135">
        <f>IF(H20&lt;=NoEchMaxi,ROUND(L20*R20,NbDeci),0)</f>
        <v>503</v>
      </c>
      <c r="N20" s="134">
        <f>IF(OR(H20&lt;=Différé,H20&gt;NoEchMaxi),IF(DiffTotal,-M20,0),IF(H20&gt;=NoEchRemb,L20,IF(S20-(M20*EchFIXE)&gt;L20-2,L20,S20-(M20*EchFIXE))))+C20</f>
        <v>6161</v>
      </c>
      <c r="O20" s="136">
        <f>IF(OR(L20=0,H20&gt;NoEchMaxi),0,ROUND(FraisF+FraisV*L20,NbDeci))+F20</f>
        <v>0</v>
      </c>
      <c r="P20" s="148">
        <f t="shared" si="3"/>
        <v>6664</v>
      </c>
      <c r="Q20" s="1"/>
      <c r="R20" s="138">
        <f>IF(B20&gt;0,IF(TauxActuariel,((B20+1)^(1/NbEchAn))-1,B20/NbEchAn),R19)</f>
        <v>0.04</v>
      </c>
      <c r="S20" s="139">
        <f>IF(E20&gt;0,E20,IF(D20&gt;0,IF(AND(EchFIXE,R20&gt;0),ROUND((L20-C20)*R20/(1-((1+R20)^-D20)),NbDeci),ROUND(L20/D20,NbDeci)),S19))</f>
        <v>6664</v>
      </c>
      <c r="T20" s="1"/>
      <c r="U20" s="1"/>
      <c r="V20" s="1"/>
      <c r="W20" s="1"/>
      <c r="X20" s="90"/>
      <c r="Y20" s="1"/>
      <c r="Z20" s="1"/>
      <c r="AA20" s="1"/>
    </row>
    <row r="21" ht="12.75" customHeight="1">
      <c r="A21" s="1"/>
      <c r="B21" s="140"/>
      <c r="C21" s="141"/>
      <c r="D21" s="142"/>
      <c r="E21" s="143"/>
      <c r="F21" s="144"/>
      <c r="G21" s="1"/>
      <c r="H21" s="131">
        <f t="shared" si="4"/>
        <v>7</v>
      </c>
      <c r="I21" s="132">
        <f>IF(L21&gt;0,NbEch+Différé+1-H21,"")</f>
        <v>1</v>
      </c>
      <c r="J21" s="145">
        <f t="shared" si="2"/>
        <v>2032</v>
      </c>
      <c r="K21" s="146">
        <f>IF(L21=0,"",IF(Ijour=0,MIN(DATE(YEAR(DebAmort),MONTH(DebAmort)+(H21-1)*Imois,Jour1),DATE(YEAR(DebAmort),MONTH(DebAmort)+1+(H21-1)*Imois,0)),DATE(YEAR(DebAmort),MONTH(DebAmort),Jour1+(H21-1)*Ijour)))</f>
        <v>48366</v>
      </c>
      <c r="L21" s="147">
        <f t="shared" si="5"/>
        <v>6411</v>
      </c>
      <c r="M21" s="135">
        <f>IF(H21&lt;=NoEchMaxi,ROUND(L21*R21,NbDeci),0)</f>
        <v>256</v>
      </c>
      <c r="N21" s="134">
        <f>IF(OR(H21&lt;=Différé,H21&gt;NoEchMaxi),IF(DiffTotal,-M21,0),IF(H21&gt;=NoEchRemb,L21,IF(S21-(M21*EchFIXE)&gt;L21-2,L21,S21-(M21*EchFIXE))))+C21</f>
        <v>6408</v>
      </c>
      <c r="O21" s="136">
        <f>IF(OR(L21=0,H21&gt;NoEchMaxi),0,ROUND(FraisF+FraisV*L21,NbDeci))+F21</f>
        <v>0</v>
      </c>
      <c r="P21" s="148">
        <f t="shared" si="3"/>
        <v>6664</v>
      </c>
      <c r="Q21" s="1"/>
      <c r="R21" s="138">
        <f>IF(B21&gt;0,IF(TauxActuariel,((B21+1)^(1/NbEchAn))-1,B21/NbEchAn),R20)</f>
        <v>0.04</v>
      </c>
      <c r="S21" s="139">
        <f>IF(E21&gt;0,E21,IF(D21&gt;0,IF(AND(EchFIXE,R21&gt;0),ROUND((L21-C21)*R21/(1-((1+R21)^-D21)),NbDeci),ROUND(L21/D21,NbDeci)),S20))</f>
        <v>6664</v>
      </c>
      <c r="T21" s="1"/>
      <c r="U21" s="1"/>
      <c r="V21" s="1"/>
      <c r="W21" s="1"/>
      <c r="X21" s="90"/>
      <c r="Y21" s="1"/>
      <c r="Z21" s="1"/>
      <c r="AA21" s="1"/>
    </row>
    <row r="22" ht="12.75" customHeight="1">
      <c r="A22" s="1"/>
      <c r="B22" s="140"/>
      <c r="C22" s="141"/>
      <c r="D22" s="142"/>
      <c r="E22" s="143"/>
      <c r="F22" s="144"/>
      <c r="G22" s="1"/>
      <c r="H22" s="131">
        <f t="shared" si="4"/>
        <v>8</v>
      </c>
      <c r="I22" s="132">
        <f>IF(L22&gt;0,NbEch+Différé+1-H22,"")</f>
        <v>0</v>
      </c>
      <c r="J22" s="145">
        <f t="shared" si="2"/>
        <v>2033</v>
      </c>
      <c r="K22" s="146">
        <f>IF(L22=0,"",IF(Ijour=0,MIN(DATE(YEAR(DebAmort),MONTH(DebAmort)+MoisD+(H22-1)*Imois,Jour2),DATE(YEAR(DebAmort),MONTH(DebAmort)+MoisD+1+(H22-1)*Imois,0)),DATE(YEAR(DebAmort),MONTH(DebAmort),Jour1+(H22-1)*Ijour)))</f>
        <v>48731</v>
      </c>
      <c r="L22" s="147">
        <f t="shared" si="5"/>
        <v>3</v>
      </c>
      <c r="M22" s="135">
        <f>IF(H22&lt;=NoEchMaxi,ROUND(L22*R22,NbDeci),0)</f>
        <v>0</v>
      </c>
      <c r="N22" s="134">
        <f>IF(OR(H22&lt;=Différé,H22&gt;NoEchMaxi),IF(DiffTotal,-M22,0),IF(H22&gt;=NoEchRemb,L22,IF(S22-(M22*EchFIXE)&gt;L22-2,L22,S22-(M22*EchFIXE))))+C22</f>
        <v>3</v>
      </c>
      <c r="O22" s="136">
        <f>IF(OR(L22=0,H22&gt;NoEchMaxi),0,ROUND(FraisF+FraisV*L22,NbDeci))+F22</f>
        <v>0</v>
      </c>
      <c r="P22" s="148">
        <f t="shared" si="3"/>
        <v>3</v>
      </c>
      <c r="Q22" s="1"/>
      <c r="R22" s="138">
        <f>IF(B22&gt;0,IF(TauxActuariel,((B22+1)^(1/NbEchAn))-1,B22/NbEchAn),R21)</f>
        <v>0.04</v>
      </c>
      <c r="S22" s="139">
        <f>IF(E22&gt;0,E22,IF(D22&gt;0,IF(AND(EchFIXE,R22&gt;0),ROUND((L22-C22)*R22/(1-((1+R22)^-D22)),NbDeci),ROUND(L22/D22,NbDeci)),S21))</f>
        <v>6664</v>
      </c>
      <c r="T22" s="1"/>
      <c r="U22" s="1"/>
      <c r="V22" s="1"/>
      <c r="W22" s="1"/>
      <c r="X22" s="90"/>
      <c r="Y22" s="1"/>
      <c r="Z22" s="1"/>
      <c r="AA22" s="1"/>
    </row>
    <row r="23" ht="12.75" customHeight="1">
      <c r="A23" s="1"/>
      <c r="B23" s="140"/>
      <c r="C23" s="141"/>
      <c r="D23" s="142"/>
      <c r="E23" s="143"/>
      <c r="F23" s="144"/>
      <c r="G23" s="1"/>
      <c r="H23" s="131" t="str">
        <f t="shared" si="4"/>
        <v/>
      </c>
      <c r="I23" s="132" t="str">
        <f>IF(L23&gt;0,NbEch+Différé+1-H23,"")</f>
        <v/>
      </c>
      <c r="J23" s="145" t="str">
        <f t="shared" si="2"/>
        <v/>
      </c>
      <c r="K23" s="146" t="str">
        <f>IF(L23=0,"",IF(Ijour=0,MIN(DATE(YEAR(DebAmort),MONTH(DebAmort)+(H23-1)*Imois,Jour1),DATE(YEAR(DebAmort),MONTH(DebAmort)+1+(H23-1)*Imois,0)),DATE(YEAR(DebAmort),MONTH(DebAmort),Jour1+(H23-1)*Ijour)))</f>
        <v/>
      </c>
      <c r="L23" s="147">
        <f t="shared" si="5"/>
        <v>0</v>
      </c>
      <c r="M23" s="135">
        <f>IF(H23&lt;=NoEchMaxi,ROUND(L23*R23,NbDeci),0)</f>
        <v>0</v>
      </c>
      <c r="N23" s="134">
        <f>IF(OR(H23&lt;=Différé,H23&gt;NoEchMaxi),IF(DiffTotal,-M23,0),IF(H23&gt;=NoEchRemb,L23,IF(S23-(M23*EchFIXE)&gt;L23-2,L23,S23-(M23*EchFIXE))))+C23</f>
        <v>0</v>
      </c>
      <c r="O23" s="136">
        <f>IF(OR(L23=0,H23&gt;NoEchMaxi),0,ROUND(FraisF+FraisV*L23,NbDeci))+F23</f>
        <v>0</v>
      </c>
      <c r="P23" s="148">
        <f t="shared" si="3"/>
        <v>0</v>
      </c>
      <c r="Q23" s="1"/>
      <c r="R23" s="138">
        <f>IF(B23&gt;0,IF(TauxActuariel,((B23+1)^(1/NbEchAn))-1,B23/NbEchAn),R22)</f>
        <v>0.04</v>
      </c>
      <c r="S23" s="139">
        <f>IF(E23&gt;0,E23,IF(D23&gt;0,IF(AND(EchFIXE,R23&gt;0),ROUND((L23-C23)*R23/(1-((1+R23)^-D23)),NbDeci),ROUND(L23/D23,NbDeci)),S22))</f>
        <v>6664</v>
      </c>
      <c r="T23" s="1"/>
      <c r="U23" s="1"/>
      <c r="V23" s="1"/>
      <c r="W23" s="1"/>
      <c r="X23" s="149"/>
      <c r="Y23" s="1"/>
      <c r="Z23" s="1"/>
      <c r="AA23" s="1"/>
    </row>
    <row r="24" ht="12.75" customHeight="1">
      <c r="A24" s="1"/>
      <c r="B24" s="140"/>
      <c r="C24" s="141"/>
      <c r="D24" s="142"/>
      <c r="E24" s="143"/>
      <c r="F24" s="144"/>
      <c r="G24" s="1"/>
      <c r="H24" s="131" t="str">
        <f t="shared" si="4"/>
        <v/>
      </c>
      <c r="I24" s="132" t="str">
        <f>IF(L24&gt;0,NbEch+Différé+1-H24,"")</f>
        <v/>
      </c>
      <c r="J24" s="145" t="str">
        <f t="shared" si="2"/>
        <v/>
      </c>
      <c r="K24" s="146" t="str">
        <f>IF(L24=0,"",IF(Ijour=0,MIN(DATE(YEAR(DebAmort),MONTH(DebAmort)+MoisD+(H24-1)*Imois,Jour2),DATE(YEAR(DebAmort),MONTH(DebAmort)+MoisD+1+(H24-1)*Imois,0)),DATE(YEAR(DebAmort),MONTH(DebAmort),Jour1+(H24-1)*Ijour)))</f>
        <v/>
      </c>
      <c r="L24" s="147">
        <f t="shared" si="5"/>
        <v>0</v>
      </c>
      <c r="M24" s="135">
        <f>IF(H24&lt;=NoEchMaxi,ROUND(L24*R24,NbDeci),0)</f>
        <v>0</v>
      </c>
      <c r="N24" s="134">
        <f>IF(OR(H24&lt;=Différé,H24&gt;NoEchMaxi),IF(DiffTotal,-M24,0),IF(H24&gt;=NoEchRemb,L24,IF(S24-(M24*EchFIXE)&gt;L24-2,L24,S24-(M24*EchFIXE))))+C24</f>
        <v>0</v>
      </c>
      <c r="O24" s="136">
        <f>IF(OR(L24=0,H24&gt;NoEchMaxi),0,ROUND(FraisF+FraisV*L24,NbDeci))+F24</f>
        <v>0</v>
      </c>
      <c r="P24" s="148">
        <f t="shared" si="3"/>
        <v>0</v>
      </c>
      <c r="Q24" s="1"/>
      <c r="R24" s="138">
        <f>IF(B24&gt;0,IF(TauxActuariel,((B24+1)^(1/NbEchAn))-1,B24/NbEchAn),R23)</f>
        <v>0.04</v>
      </c>
      <c r="S24" s="139">
        <f>IF(E24&gt;0,E24,IF(D24&gt;0,IF(AND(EchFIXE,R24&gt;0),ROUND((L24-C24)*R24/(1-((1+R24)^-D24)),NbDeci),ROUND(L24/D24,NbDeci)),S23))</f>
        <v>6664</v>
      </c>
      <c r="T24" s="1"/>
      <c r="U24" s="1"/>
      <c r="V24" s="1"/>
      <c r="W24" s="1"/>
      <c r="X24" s="1"/>
      <c r="Y24" s="1"/>
      <c r="Z24" s="1"/>
      <c r="AA24" s="1"/>
    </row>
    <row r="25" ht="12.75" customHeight="1">
      <c r="A25" s="1"/>
      <c r="B25" s="140"/>
      <c r="C25" s="141"/>
      <c r="D25" s="142"/>
      <c r="E25" s="143"/>
      <c r="F25" s="144"/>
      <c r="G25" s="1"/>
      <c r="H25" s="131" t="str">
        <f t="shared" si="4"/>
        <v/>
      </c>
      <c r="I25" s="132" t="str">
        <f>IF(L25&gt;0,NbEch+Différé+1-H25,"")</f>
        <v/>
      </c>
      <c r="J25" s="145" t="str">
        <f t="shared" si="2"/>
        <v/>
      </c>
      <c r="K25" s="146" t="str">
        <f>IF(L25=0,"",IF(Ijour=0,MIN(DATE(YEAR(DebAmort),MONTH(DebAmort)+(H25-1)*Imois,Jour1),DATE(YEAR(DebAmort),MONTH(DebAmort)+1+(H25-1)*Imois,0)),DATE(YEAR(DebAmort),MONTH(DebAmort),Jour1+(H25-1)*Ijour)))</f>
        <v/>
      </c>
      <c r="L25" s="147">
        <f t="shared" si="5"/>
        <v>0</v>
      </c>
      <c r="M25" s="135">
        <f>IF(H25&lt;=NoEchMaxi,ROUND(L25*R25,NbDeci),0)</f>
        <v>0</v>
      </c>
      <c r="N25" s="134">
        <f>IF(OR(H25&lt;=Différé,H25&gt;NoEchMaxi),IF(DiffTotal,-M25,0),IF(H25&gt;=NoEchRemb,L25,IF(S25-(M25*EchFIXE)&gt;L25-2,L25,S25-(M25*EchFIXE))))+C25</f>
        <v>0</v>
      </c>
      <c r="O25" s="136">
        <f>IF(OR(L25=0,H25&gt;NoEchMaxi),0,ROUND(FraisF+FraisV*L25,NbDeci))+F25</f>
        <v>0</v>
      </c>
      <c r="P25" s="148">
        <f t="shared" si="3"/>
        <v>0</v>
      </c>
      <c r="Q25" s="1"/>
      <c r="R25" s="138">
        <f>IF(B25&gt;0,IF(TauxActuariel,((B25+1)^(1/NbEchAn))-1,B25/NbEchAn),R24)</f>
        <v>0.04</v>
      </c>
      <c r="S25" s="139">
        <f>IF(E25&gt;0,E25,IF(D25&gt;0,IF(AND(EchFIXE,R25&gt;0),ROUND((L25-C25)*R25/(1-((1+R25)^-D25)),NbDeci),ROUND(L25/D25,NbDeci)),S24))</f>
        <v>6664</v>
      </c>
      <c r="T25" s="1"/>
      <c r="U25" s="1"/>
      <c r="V25" s="1"/>
      <c r="W25" s="1"/>
      <c r="X25" s="1"/>
      <c r="Y25" s="1"/>
      <c r="Z25" s="1"/>
      <c r="AA25" s="1"/>
    </row>
    <row r="26" ht="12.75" customHeight="1">
      <c r="A26" s="1"/>
      <c r="B26" s="140"/>
      <c r="C26" s="141"/>
      <c r="D26" s="142"/>
      <c r="E26" s="143"/>
      <c r="F26" s="144"/>
      <c r="G26" s="1"/>
      <c r="H26" s="131" t="str">
        <f t="shared" si="4"/>
        <v/>
      </c>
      <c r="I26" s="132" t="str">
        <f>IF(L26&gt;0,NbEch+Différé+1-H26,"")</f>
        <v/>
      </c>
      <c r="J26" s="145" t="str">
        <f t="shared" si="2"/>
        <v/>
      </c>
      <c r="K26" s="146" t="str">
        <f>IF(L26=0,"",IF(Ijour=0,MIN(DATE(YEAR(DebAmort),MONTH(DebAmort)+MoisD+(H26-1)*Imois,Jour2),DATE(YEAR(DebAmort),MONTH(DebAmort)+MoisD+1+(H26-1)*Imois,0)),DATE(YEAR(DebAmort),MONTH(DebAmort),Jour1+(H26-1)*Ijour)))</f>
        <v/>
      </c>
      <c r="L26" s="147">
        <f t="shared" si="5"/>
        <v>0</v>
      </c>
      <c r="M26" s="135">
        <f>IF(H26&lt;=NoEchMaxi,ROUND(L26*R26,NbDeci),0)</f>
        <v>0</v>
      </c>
      <c r="N26" s="134">
        <f>IF(OR(H26&lt;=Différé,H26&gt;NoEchMaxi),IF(DiffTotal,-M26,0),IF(H26&gt;=NoEchRemb,L26,IF(S26-(M26*EchFIXE)&gt;L26-2,L26,S26-(M26*EchFIXE))))+C26</f>
        <v>0</v>
      </c>
      <c r="O26" s="136">
        <f>IF(OR(L26=0,H26&gt;NoEchMaxi),0,ROUND(FraisF+FraisV*L26,NbDeci))+F26</f>
        <v>0</v>
      </c>
      <c r="P26" s="148">
        <f t="shared" si="3"/>
        <v>0</v>
      </c>
      <c r="Q26" s="1"/>
      <c r="R26" s="138">
        <f>IF(B26&gt;0,IF(TauxActuariel,((B26+1)^(1/NbEchAn))-1,B26/NbEchAn),R25)</f>
        <v>0.04</v>
      </c>
      <c r="S26" s="139">
        <f>IF(E26&gt;0,E26,IF(D26&gt;0,IF(AND(EchFIXE,R26&gt;0),ROUND((L26-C26)*R26/(1-((1+R26)^-D26)),NbDeci),ROUND(L26/D26,NbDeci)),S25))</f>
        <v>6664</v>
      </c>
      <c r="T26" s="1"/>
      <c r="U26" s="1"/>
      <c r="V26" s="1"/>
      <c r="W26" s="1"/>
      <c r="X26" s="1"/>
      <c r="Y26" s="1"/>
      <c r="Z26" s="1"/>
      <c r="AA26" s="1"/>
    </row>
    <row r="27" ht="12.75" customHeight="1">
      <c r="A27" s="1"/>
      <c r="B27" s="140"/>
      <c r="C27" s="141"/>
      <c r="D27" s="142"/>
      <c r="E27" s="143"/>
      <c r="F27" s="144"/>
      <c r="G27" s="1"/>
      <c r="H27" s="131" t="str">
        <f t="shared" si="4"/>
        <v/>
      </c>
      <c r="I27" s="132" t="str">
        <f>IF(L27&gt;0,NbEch+Différé+1-H27,"")</f>
        <v/>
      </c>
      <c r="J27" s="145" t="str">
        <f t="shared" si="2"/>
        <v/>
      </c>
      <c r="K27" s="146" t="str">
        <f>IF(L27=0,"",IF(Ijour=0,MIN(DATE(YEAR(DebAmort),MONTH(DebAmort)+(H27-1)*Imois,Jour1),DATE(YEAR(DebAmort),MONTH(DebAmort)+1+(H27-1)*Imois,0)),DATE(YEAR(DebAmort),MONTH(DebAmort),Jour1+(H27-1)*Ijour)))</f>
        <v/>
      </c>
      <c r="L27" s="147">
        <f t="shared" si="5"/>
        <v>0</v>
      </c>
      <c r="M27" s="135">
        <f>IF(H27&lt;=NoEchMaxi,ROUND(L27*R27,NbDeci),0)</f>
        <v>0</v>
      </c>
      <c r="N27" s="134">
        <f>IF(OR(H27&lt;=Différé,H27&gt;NoEchMaxi),IF(DiffTotal,-M27,0),IF(H27&gt;=NoEchRemb,L27,IF(S27-(M27*EchFIXE)&gt;L27-2,L27,S27-(M27*EchFIXE))))+C27</f>
        <v>0</v>
      </c>
      <c r="O27" s="136">
        <f>IF(OR(L27=0,H27&gt;NoEchMaxi),0,ROUND(FraisF+FraisV*L27,NbDeci))+F27</f>
        <v>0</v>
      </c>
      <c r="P27" s="148">
        <f t="shared" si="3"/>
        <v>0</v>
      </c>
      <c r="Q27" s="1"/>
      <c r="R27" s="138">
        <f>IF(B27&gt;0,IF(TauxActuariel,((B27+1)^(1/NbEchAn))-1,B27/NbEchAn),R26)</f>
        <v>0.04</v>
      </c>
      <c r="S27" s="139">
        <f>IF(E27&gt;0,E27,IF(D27&gt;0,IF(AND(EchFIXE,R27&gt;0),ROUND((L27-C27)*R27/(1-((1+R27)^-D27)),NbDeci),ROUND(L27/D27,NbDeci)),S26))</f>
        <v>6664</v>
      </c>
      <c r="T27" s="1"/>
      <c r="U27" s="1"/>
      <c r="V27" s="1"/>
      <c r="W27" s="1"/>
      <c r="X27" s="1"/>
      <c r="Y27" s="1"/>
      <c r="Z27" s="1"/>
      <c r="AA27" s="1"/>
    </row>
    <row r="28" ht="12.75" customHeight="1">
      <c r="A28" s="1"/>
      <c r="B28" s="140"/>
      <c r="C28" s="141"/>
      <c r="D28" s="142"/>
      <c r="E28" s="143"/>
      <c r="F28" s="144"/>
      <c r="G28" s="1"/>
      <c r="H28" s="131" t="str">
        <f t="shared" si="4"/>
        <v/>
      </c>
      <c r="I28" s="132" t="str">
        <f>IF(L28&gt;0,NbEch+Différé+1-H28,"")</f>
        <v/>
      </c>
      <c r="J28" s="145" t="str">
        <f t="shared" si="2"/>
        <v/>
      </c>
      <c r="K28" s="146" t="str">
        <f>IF(L28=0,"",IF(Ijour=0,MIN(DATE(YEAR(DebAmort),MONTH(DebAmort)+MoisD+(H28-1)*Imois,Jour2),DATE(YEAR(DebAmort),MONTH(DebAmort)+MoisD+1+(H28-1)*Imois,0)),DATE(YEAR(DebAmort),MONTH(DebAmort),Jour1+(H28-1)*Ijour)))</f>
        <v/>
      </c>
      <c r="L28" s="147">
        <f t="shared" si="5"/>
        <v>0</v>
      </c>
      <c r="M28" s="135">
        <f>IF(H28&lt;=NoEchMaxi,ROUND(L28*R28,NbDeci),0)</f>
        <v>0</v>
      </c>
      <c r="N28" s="134">
        <f>IF(OR(H28&lt;=Différé,H28&gt;NoEchMaxi),IF(DiffTotal,-M28,0),IF(H28&gt;=NoEchRemb,L28,IF(S28-(M28*EchFIXE)&gt;L28-2,L28,S28-(M28*EchFIXE))))+C28</f>
        <v>0</v>
      </c>
      <c r="O28" s="136">
        <f>IF(OR(L28=0,H28&gt;NoEchMaxi),0,ROUND(FraisF+FraisV*L28,NbDeci))+F28</f>
        <v>0</v>
      </c>
      <c r="P28" s="148">
        <f t="shared" si="3"/>
        <v>0</v>
      </c>
      <c r="Q28" s="1"/>
      <c r="R28" s="138">
        <f>IF(B28&gt;0,IF(TauxActuariel,((B28+1)^(1/NbEchAn))-1,B28/NbEchAn),R27)</f>
        <v>0.04</v>
      </c>
      <c r="S28" s="139">
        <f>IF(E28&gt;0,E28,IF(D28&gt;0,IF(AND(EchFIXE,R28&gt;0),ROUND((L28-C28)*R28/(1-((1+R28)^-D28)),NbDeci),ROUND(L28/D28,NbDeci)),S27))</f>
        <v>6664</v>
      </c>
      <c r="T28" s="1"/>
      <c r="U28" s="1"/>
      <c r="V28" s="1"/>
      <c r="W28" s="1"/>
      <c r="X28" s="1"/>
      <c r="Y28" s="1"/>
      <c r="Z28" s="1"/>
      <c r="AA28" s="1"/>
    </row>
    <row r="29" ht="12.75" customHeight="1">
      <c r="A29" s="1"/>
      <c r="B29" s="140"/>
      <c r="C29" s="141"/>
      <c r="D29" s="142"/>
      <c r="E29" s="143"/>
      <c r="F29" s="144"/>
      <c r="G29" s="1"/>
      <c r="H29" s="131" t="str">
        <f t="shared" si="4"/>
        <v/>
      </c>
      <c r="I29" s="132" t="str">
        <f>IF(L29&gt;0,NbEch+Différé+1-H29,"")</f>
        <v/>
      </c>
      <c r="J29" s="145" t="str">
        <f t="shared" si="2"/>
        <v/>
      </c>
      <c r="K29" s="146" t="str">
        <f>IF(L29=0,"",IF(Ijour=0,MIN(DATE(YEAR(DebAmort),MONTH(DebAmort)+(H29-1)*Imois,Jour1),DATE(YEAR(DebAmort),MONTH(DebAmort)+1+(H29-1)*Imois,0)),DATE(YEAR(DebAmort),MONTH(DebAmort),Jour1+(H29-1)*Ijour)))</f>
        <v/>
      </c>
      <c r="L29" s="147">
        <f t="shared" si="5"/>
        <v>0</v>
      </c>
      <c r="M29" s="135">
        <f>IF(H29&lt;=NoEchMaxi,ROUND(L29*R29,NbDeci),0)</f>
        <v>0</v>
      </c>
      <c r="N29" s="134">
        <f>IF(OR(H29&lt;=Différé,H29&gt;NoEchMaxi),IF(DiffTotal,-M29,0),IF(H29&gt;=NoEchRemb,L29,IF(S29-(M29*EchFIXE)&gt;L29-2,L29,S29-(M29*EchFIXE))))+C29</f>
        <v>0</v>
      </c>
      <c r="O29" s="136">
        <f>IF(OR(L29=0,H29&gt;NoEchMaxi),0,ROUND(FraisF+FraisV*L29,NbDeci))+F29</f>
        <v>0</v>
      </c>
      <c r="P29" s="148">
        <f t="shared" si="3"/>
        <v>0</v>
      </c>
      <c r="Q29" s="1"/>
      <c r="R29" s="138">
        <f>IF(B29&gt;0,IF(TauxActuariel,((B29+1)^(1/NbEchAn))-1,B29/NbEchAn),R28)</f>
        <v>0.04</v>
      </c>
      <c r="S29" s="139">
        <f>IF(E29&gt;0,E29,IF(D29&gt;0,IF(AND(EchFIXE,R29&gt;0),ROUND((L29-C29)*R29/(1-((1+R29)^-D29)),NbDeci),ROUND(L29/D29,NbDeci)),S28))</f>
        <v>6664</v>
      </c>
      <c r="T29" s="1"/>
      <c r="U29" s="1"/>
      <c r="V29" s="1"/>
      <c r="W29" s="1"/>
      <c r="X29" s="1"/>
      <c r="Y29" s="1"/>
      <c r="Z29" s="1"/>
      <c r="AA29" s="1"/>
    </row>
    <row r="30" ht="12.75" customHeight="1">
      <c r="A30" s="1"/>
      <c r="B30" s="140"/>
      <c r="C30" s="141"/>
      <c r="D30" s="142"/>
      <c r="E30" s="143"/>
      <c r="F30" s="144"/>
      <c r="G30" s="1"/>
      <c r="H30" s="131" t="str">
        <f t="shared" si="4"/>
        <v/>
      </c>
      <c r="I30" s="132" t="str">
        <f>IF(L30&gt;0,NbEch+Différé+1-H30,"")</f>
        <v/>
      </c>
      <c r="J30" s="145" t="str">
        <f t="shared" si="2"/>
        <v/>
      </c>
      <c r="K30" s="146" t="str">
        <f>IF(L30=0,"",IF(Ijour=0,MIN(DATE(YEAR(DebAmort),MONTH(DebAmort)+MoisD+(H30-1)*Imois,Jour2),DATE(YEAR(DebAmort),MONTH(DebAmort)+MoisD+1+(H30-1)*Imois,0)),DATE(YEAR(DebAmort),MONTH(DebAmort),Jour1+(H30-1)*Ijour)))</f>
        <v/>
      </c>
      <c r="L30" s="147">
        <f t="shared" si="5"/>
        <v>0</v>
      </c>
      <c r="M30" s="135">
        <f>IF(H30&lt;=NoEchMaxi,ROUND(L30*R30,NbDeci),0)</f>
        <v>0</v>
      </c>
      <c r="N30" s="134">
        <f>IF(OR(H30&lt;=Différé,H30&gt;NoEchMaxi),IF(DiffTotal,-M30,0),IF(H30&gt;=NoEchRemb,L30,IF(S30-(M30*EchFIXE)&gt;L30-2,L30,S30-(M30*EchFIXE))))+C30</f>
        <v>0</v>
      </c>
      <c r="O30" s="136">
        <f>IF(OR(L30=0,H30&gt;NoEchMaxi),0,ROUND(FraisF+FraisV*L30,NbDeci))+F30</f>
        <v>0</v>
      </c>
      <c r="P30" s="148">
        <f t="shared" si="3"/>
        <v>0</v>
      </c>
      <c r="Q30" s="1"/>
      <c r="R30" s="138">
        <f>IF(B30&gt;0,IF(TauxActuariel,((B30+1)^(1/NbEchAn))-1,B30/NbEchAn),R29)</f>
        <v>0.04</v>
      </c>
      <c r="S30" s="139">
        <f>IF(E30&gt;0,E30,IF(D30&gt;0,IF(AND(EchFIXE,R30&gt;0),ROUND((L30-C30)*R30/(1-((1+R30)^-D30)),NbDeci),ROUND(L30/D30,NbDeci)),S29))</f>
        <v>6664</v>
      </c>
      <c r="T30" s="1"/>
      <c r="U30" s="1"/>
      <c r="V30" s="1"/>
      <c r="W30" s="1"/>
      <c r="X30" s="1"/>
      <c r="Y30" s="1"/>
      <c r="Z30" s="1"/>
      <c r="AA30" s="1"/>
    </row>
    <row r="31" ht="12.75" customHeight="1">
      <c r="A31" s="1"/>
      <c r="B31" s="140"/>
      <c r="C31" s="141"/>
      <c r="D31" s="142"/>
      <c r="E31" s="143"/>
      <c r="F31" s="144"/>
      <c r="G31" s="1"/>
      <c r="H31" s="131" t="str">
        <f t="shared" si="4"/>
        <v/>
      </c>
      <c r="I31" s="132" t="str">
        <f>IF(L31&gt;0,NbEch+Différé+1-H31,"")</f>
        <v/>
      </c>
      <c r="J31" s="145" t="str">
        <f t="shared" si="2"/>
        <v/>
      </c>
      <c r="K31" s="146" t="str">
        <f>IF(L31=0,"",IF(Ijour=0,MIN(DATE(YEAR(DebAmort),MONTH(DebAmort)+(H31-1)*Imois,Jour1),DATE(YEAR(DebAmort),MONTH(DebAmort)+1+(H31-1)*Imois,0)),DATE(YEAR(DebAmort),MONTH(DebAmort),Jour1+(H31-1)*Ijour)))</f>
        <v/>
      </c>
      <c r="L31" s="147">
        <f t="shared" si="5"/>
        <v>0</v>
      </c>
      <c r="M31" s="135">
        <f>IF(H31&lt;=NoEchMaxi,ROUND(L31*R31,NbDeci),0)</f>
        <v>0</v>
      </c>
      <c r="N31" s="134">
        <f>IF(OR(H31&lt;=Différé,H31&gt;NoEchMaxi),IF(DiffTotal,-M31,0),IF(H31&gt;=NoEchRemb,L31,IF(S31-(M31*EchFIXE)&gt;L31-2,L31,S31-(M31*EchFIXE))))+C31</f>
        <v>0</v>
      </c>
      <c r="O31" s="136">
        <f>IF(OR(L31=0,H31&gt;NoEchMaxi),0,ROUND(FraisF+FraisV*L31,NbDeci))+F31</f>
        <v>0</v>
      </c>
      <c r="P31" s="148">
        <f t="shared" si="3"/>
        <v>0</v>
      </c>
      <c r="Q31" s="1"/>
      <c r="R31" s="138">
        <f>IF(B31&gt;0,IF(TauxActuariel,((B31+1)^(1/NbEchAn))-1,B31/NbEchAn),R30)</f>
        <v>0.04</v>
      </c>
      <c r="S31" s="139">
        <f>IF(E31&gt;0,E31,IF(D31&gt;0,IF(AND(EchFIXE,R31&gt;0),ROUND((L31-C31)*R31/(1-((1+R31)^-D31)),NbDeci),ROUND(L31/D31,NbDeci)),S30))</f>
        <v>6664</v>
      </c>
      <c r="T31" s="1"/>
      <c r="U31" s="1"/>
      <c r="V31" s="1"/>
      <c r="W31" s="1"/>
      <c r="X31" s="1"/>
      <c r="Y31" s="1"/>
      <c r="Z31" s="1"/>
      <c r="AA31" s="1"/>
    </row>
    <row r="32" ht="12.75" customHeight="1">
      <c r="A32" s="1"/>
      <c r="B32" s="140"/>
      <c r="C32" s="141"/>
      <c r="D32" s="142"/>
      <c r="E32" s="143"/>
      <c r="F32" s="144"/>
      <c r="G32" s="1"/>
      <c r="H32" s="131" t="str">
        <f t="shared" si="4"/>
        <v/>
      </c>
      <c r="I32" s="132" t="str">
        <f>IF(L32&gt;0,NbEch+Différé+1-H32,"")</f>
        <v/>
      </c>
      <c r="J32" s="145" t="str">
        <f t="shared" si="2"/>
        <v/>
      </c>
      <c r="K32" s="146" t="str">
        <f>IF(L32=0,"",IF(Ijour=0,MIN(DATE(YEAR(DebAmort),MONTH(DebAmort)+MoisD+(H32-1)*Imois,Jour2),DATE(YEAR(DebAmort),MONTH(DebAmort)+MoisD+1+(H32-1)*Imois,0)),DATE(YEAR(DebAmort),MONTH(DebAmort),Jour1+(H32-1)*Ijour)))</f>
        <v/>
      </c>
      <c r="L32" s="147">
        <f t="shared" si="5"/>
        <v>0</v>
      </c>
      <c r="M32" s="135">
        <f>IF(H32&lt;=NoEchMaxi,ROUND(L32*R32,NbDeci),0)</f>
        <v>0</v>
      </c>
      <c r="N32" s="134">
        <f>IF(OR(H32&lt;=Différé,H32&gt;NoEchMaxi),IF(DiffTotal,-M32,0),IF(H32&gt;=NoEchRemb,L32,IF(S32-(M32*EchFIXE)&gt;L32-2,L32,S32-(M32*EchFIXE))))+C32</f>
        <v>0</v>
      </c>
      <c r="O32" s="136">
        <f>IF(OR(L32=0,H32&gt;NoEchMaxi),0,ROUND(FraisF+FraisV*L32,NbDeci))+F32</f>
        <v>0</v>
      </c>
      <c r="P32" s="148">
        <f t="shared" si="3"/>
        <v>0</v>
      </c>
      <c r="Q32" s="1"/>
      <c r="R32" s="138">
        <f>IF(B32&gt;0,IF(TauxActuariel,((B32+1)^(1/NbEchAn))-1,B32/NbEchAn),R31)</f>
        <v>0.04</v>
      </c>
      <c r="S32" s="139">
        <f>IF(E32&gt;0,E32,IF(D32&gt;0,IF(AND(EchFIXE,R32&gt;0),ROUND((L32-C32)*R32/(1-((1+R32)^-D32)),NbDeci),ROUND(L32/D32,NbDeci)),S31))</f>
        <v>6664</v>
      </c>
      <c r="T32" s="1"/>
      <c r="U32" s="1"/>
      <c r="V32" s="1"/>
      <c r="W32" s="1"/>
      <c r="X32" s="1"/>
      <c r="Y32" s="1"/>
      <c r="Z32" s="1"/>
      <c r="AA32" s="1"/>
    </row>
    <row r="33" ht="12.75" customHeight="1">
      <c r="A33" s="1"/>
      <c r="B33" s="140"/>
      <c r="C33" s="141"/>
      <c r="D33" s="142"/>
      <c r="E33" s="143"/>
      <c r="F33" s="144"/>
      <c r="G33" s="1"/>
      <c r="H33" s="131" t="str">
        <f t="shared" si="4"/>
        <v/>
      </c>
      <c r="I33" s="132" t="str">
        <f>IF(L33&gt;0,NbEch+Différé+1-H33,"")</f>
        <v/>
      </c>
      <c r="J33" s="145" t="str">
        <f t="shared" si="2"/>
        <v/>
      </c>
      <c r="K33" s="146" t="str">
        <f>IF(L33=0,"",IF(Ijour=0,MIN(DATE(YEAR(DebAmort),MONTH(DebAmort)+(H33-1)*Imois,Jour1),DATE(YEAR(DebAmort),MONTH(DebAmort)+1+(H33-1)*Imois,0)),DATE(YEAR(DebAmort),MONTH(DebAmort),Jour1+(H33-1)*Ijour)))</f>
        <v/>
      </c>
      <c r="L33" s="147">
        <f t="shared" si="5"/>
        <v>0</v>
      </c>
      <c r="M33" s="135">
        <f>IF(H33&lt;=NoEchMaxi,ROUND(L33*R33,NbDeci),0)</f>
        <v>0</v>
      </c>
      <c r="N33" s="134">
        <f>IF(OR(H33&lt;=Différé,H33&gt;NoEchMaxi),IF(DiffTotal,-M33,0),IF(H33&gt;=NoEchRemb,L33,IF(S33-(M33*EchFIXE)&gt;L33-2,L33,S33-(M33*EchFIXE))))+C33</f>
        <v>0</v>
      </c>
      <c r="O33" s="136">
        <f>IF(OR(L33=0,H33&gt;NoEchMaxi),0,ROUND(FraisF+FraisV*L33,NbDeci))+F33</f>
        <v>0</v>
      </c>
      <c r="P33" s="148">
        <f t="shared" si="3"/>
        <v>0</v>
      </c>
      <c r="Q33" s="1"/>
      <c r="R33" s="138">
        <f>IF(B33&gt;0,IF(TauxActuariel,((B33+1)^(1/NbEchAn))-1,B33/NbEchAn),R32)</f>
        <v>0.04</v>
      </c>
      <c r="S33" s="139">
        <f>IF(E33&gt;0,E33,IF(D33&gt;0,IF(AND(EchFIXE,R33&gt;0),ROUND((L33-C33)*R33/(1-((1+R33)^-D33)),NbDeci),ROUND(L33/D33,NbDeci)),S32))</f>
        <v>6664</v>
      </c>
      <c r="T33" s="1"/>
      <c r="U33" s="1"/>
      <c r="V33" s="1"/>
      <c r="W33" s="1"/>
      <c r="X33" s="1"/>
      <c r="Y33" s="1"/>
      <c r="Z33" s="1"/>
      <c r="AA33" s="1"/>
    </row>
    <row r="34" ht="12.75" customHeight="1">
      <c r="A34" s="1"/>
      <c r="B34" s="140"/>
      <c r="C34" s="141"/>
      <c r="D34" s="142"/>
      <c r="E34" s="143"/>
      <c r="F34" s="144"/>
      <c r="G34" s="1"/>
      <c r="H34" s="131" t="str">
        <f t="shared" si="4"/>
        <v/>
      </c>
      <c r="I34" s="132" t="str">
        <f>IF(L34&gt;0,NbEch+Différé+1-H34,"")</f>
        <v/>
      </c>
      <c r="J34" s="145" t="str">
        <f t="shared" si="2"/>
        <v/>
      </c>
      <c r="K34" s="146" t="str">
        <f>IF(L34=0,"",IF(Ijour=0,MIN(DATE(YEAR(DebAmort),MONTH(DebAmort)+MoisD+(H34-1)*Imois,Jour2),DATE(YEAR(DebAmort),MONTH(DebAmort)+MoisD+1+(H34-1)*Imois,0)),DATE(YEAR(DebAmort),MONTH(DebAmort),Jour1+(H34-1)*Ijour)))</f>
        <v/>
      </c>
      <c r="L34" s="147">
        <f t="shared" si="5"/>
        <v>0</v>
      </c>
      <c r="M34" s="135">
        <f>IF(H34&lt;=NoEchMaxi,ROUND(L34*R34,NbDeci),0)</f>
        <v>0</v>
      </c>
      <c r="N34" s="134">
        <f>IF(OR(H34&lt;=Différé,H34&gt;NoEchMaxi),IF(DiffTotal,-M34,0),IF(H34&gt;=NoEchRemb,L34,IF(S34-(M34*EchFIXE)&gt;L34-2,L34,S34-(M34*EchFIXE))))+C34</f>
        <v>0</v>
      </c>
      <c r="O34" s="136">
        <f>IF(OR(L34=0,H34&gt;NoEchMaxi),0,ROUND(FraisF+FraisV*L34,NbDeci))+F34</f>
        <v>0</v>
      </c>
      <c r="P34" s="148">
        <f t="shared" si="3"/>
        <v>0</v>
      </c>
      <c r="Q34" s="1"/>
      <c r="R34" s="138">
        <f>IF(B34&gt;0,IF(TauxActuariel,((B34+1)^(1/NbEchAn))-1,B34/NbEchAn),R33)</f>
        <v>0.04</v>
      </c>
      <c r="S34" s="139">
        <f>IF(E34&gt;0,E34,IF(D34&gt;0,IF(AND(EchFIXE,R34&gt;0),ROUND((L34-C34)*R34/(1-((1+R34)^-D34)),NbDeci),ROUND(L34/D34,NbDeci)),S33))</f>
        <v>6664</v>
      </c>
      <c r="T34" s="1"/>
      <c r="U34" s="1"/>
      <c r="V34" s="1"/>
      <c r="W34" s="1"/>
      <c r="X34" s="1"/>
      <c r="Y34" s="1"/>
      <c r="Z34" s="1"/>
      <c r="AA34" s="1"/>
    </row>
    <row r="35" ht="12.75" customHeight="1">
      <c r="A35" s="1"/>
      <c r="B35" s="140"/>
      <c r="C35" s="141"/>
      <c r="D35" s="142"/>
      <c r="E35" s="143"/>
      <c r="F35" s="144"/>
      <c r="G35" s="1"/>
      <c r="H35" s="131" t="str">
        <f t="shared" si="4"/>
        <v/>
      </c>
      <c r="I35" s="132" t="str">
        <f>IF(L35&gt;0,NbEch+Différé+1-H35,"")</f>
        <v/>
      </c>
      <c r="J35" s="145" t="str">
        <f t="shared" si="2"/>
        <v/>
      </c>
      <c r="K35" s="146" t="str">
        <f>IF(L35=0,"",IF(Ijour=0,MIN(DATE(YEAR(DebAmort),MONTH(DebAmort)+(H35-1)*Imois,Jour1),DATE(YEAR(DebAmort),MONTH(DebAmort)+1+(H35-1)*Imois,0)),DATE(YEAR(DebAmort),MONTH(DebAmort),Jour1+(H35-1)*Ijour)))</f>
        <v/>
      </c>
      <c r="L35" s="147">
        <f t="shared" si="5"/>
        <v>0</v>
      </c>
      <c r="M35" s="135">
        <f>IF(H35&lt;=NoEchMaxi,ROUND(L35*R35,NbDeci),0)</f>
        <v>0</v>
      </c>
      <c r="N35" s="134">
        <f>IF(OR(H35&lt;=Différé,H35&gt;NoEchMaxi),IF(DiffTotal,-M35,0),IF(H35&gt;=NoEchRemb,L35,IF(S35-(M35*EchFIXE)&gt;L35-2,L35,S35-(M35*EchFIXE))))+C35</f>
        <v>0</v>
      </c>
      <c r="O35" s="136">
        <f>IF(OR(L35=0,H35&gt;NoEchMaxi),0,ROUND(FraisF+FraisV*L35,NbDeci))+F35</f>
        <v>0</v>
      </c>
      <c r="P35" s="148">
        <f t="shared" si="3"/>
        <v>0</v>
      </c>
      <c r="Q35" s="1"/>
      <c r="R35" s="138">
        <f>IF(B35&gt;0,IF(TauxActuariel,((B35+1)^(1/NbEchAn))-1,B35/NbEchAn),R34)</f>
        <v>0.04</v>
      </c>
      <c r="S35" s="139">
        <f>IF(E35&gt;0,E35,IF(D35&gt;0,IF(AND(EchFIXE,R35&gt;0),ROUND((L35-C35)*R35/(1-((1+R35)^-D35)),NbDeci),ROUND(L35/D35,NbDeci)),S34))</f>
        <v>6664</v>
      </c>
      <c r="T35" s="1"/>
      <c r="U35" s="1"/>
      <c r="V35" s="1"/>
      <c r="W35" s="1"/>
      <c r="X35" s="1"/>
      <c r="Y35" s="1"/>
      <c r="Z35" s="1"/>
      <c r="AA35" s="1"/>
    </row>
    <row r="36" ht="12.75" customHeight="1">
      <c r="A36" s="1"/>
      <c r="B36" s="140"/>
      <c r="C36" s="141"/>
      <c r="D36" s="142"/>
      <c r="E36" s="143"/>
      <c r="F36" s="144"/>
      <c r="G36" s="1"/>
      <c r="H36" s="131" t="str">
        <f t="shared" si="4"/>
        <v/>
      </c>
      <c r="I36" s="132" t="str">
        <f>IF(L36&gt;0,NbEch+Différé+1-H36,"")</f>
        <v/>
      </c>
      <c r="J36" s="145" t="str">
        <f t="shared" si="2"/>
        <v/>
      </c>
      <c r="K36" s="146" t="str">
        <f>IF(L36=0,"",IF(Ijour=0,MIN(DATE(YEAR(DebAmort),MONTH(DebAmort)+MoisD+(H36-1)*Imois,Jour2),DATE(YEAR(DebAmort),MONTH(DebAmort)+MoisD+1+(H36-1)*Imois,0)),DATE(YEAR(DebAmort),MONTH(DebAmort),Jour1+(H36-1)*Ijour)))</f>
        <v/>
      </c>
      <c r="L36" s="147">
        <f t="shared" si="5"/>
        <v>0</v>
      </c>
      <c r="M36" s="135">
        <f>IF(H36&lt;=NoEchMaxi,ROUND(L36*R36,NbDeci),0)</f>
        <v>0</v>
      </c>
      <c r="N36" s="134">
        <f>IF(OR(H36&lt;=Différé,H36&gt;NoEchMaxi),IF(DiffTotal,-M36,0),IF(H36&gt;=NoEchRemb,L36,IF(S36-(M36*EchFIXE)&gt;L36-2,L36,S36-(M36*EchFIXE))))+C36</f>
        <v>0</v>
      </c>
      <c r="O36" s="136">
        <f>IF(OR(L36=0,H36&gt;NoEchMaxi),0,ROUND(FraisF+FraisV*L36,NbDeci))+F36</f>
        <v>0</v>
      </c>
      <c r="P36" s="148">
        <f t="shared" si="3"/>
        <v>0</v>
      </c>
      <c r="Q36" s="1"/>
      <c r="R36" s="138">
        <f>IF(B36&gt;0,IF(TauxActuariel,((B36+1)^(1/NbEchAn))-1,B36/NbEchAn),R35)</f>
        <v>0.04</v>
      </c>
      <c r="S36" s="139">
        <f>IF(E36&gt;0,E36,IF(D36&gt;0,IF(AND(EchFIXE,R36&gt;0),ROUND((L36-C36)*R36/(1-((1+R36)^-D36)),NbDeci),ROUND(L36/D36,NbDeci)),S35))</f>
        <v>6664</v>
      </c>
      <c r="T36" s="1"/>
      <c r="U36" s="1"/>
      <c r="V36" s="1"/>
      <c r="W36" s="1"/>
      <c r="X36" s="1"/>
      <c r="Y36" s="1"/>
      <c r="Z36" s="1"/>
      <c r="AA36" s="1"/>
    </row>
    <row r="37" ht="12.75" customHeight="1">
      <c r="A37" s="1"/>
      <c r="B37" s="140"/>
      <c r="C37" s="141"/>
      <c r="D37" s="142"/>
      <c r="E37" s="143"/>
      <c r="F37" s="144"/>
      <c r="G37" s="1"/>
      <c r="H37" s="131" t="str">
        <f t="shared" si="4"/>
        <v/>
      </c>
      <c r="I37" s="132" t="str">
        <f>IF(L37&gt;0,NbEch+Différé+1-H37,"")</f>
        <v/>
      </c>
      <c r="J37" s="145" t="str">
        <f t="shared" si="2"/>
        <v/>
      </c>
      <c r="K37" s="146" t="str">
        <f>IF(L37=0,"",IF(Ijour=0,MIN(DATE(YEAR(DebAmort),MONTH(DebAmort)+(H37-1)*Imois,Jour1),DATE(YEAR(DebAmort),MONTH(DebAmort)+1+(H37-1)*Imois,0)),DATE(YEAR(DebAmort),MONTH(DebAmort),Jour1+(H37-1)*Ijour)))</f>
        <v/>
      </c>
      <c r="L37" s="147">
        <f t="shared" si="5"/>
        <v>0</v>
      </c>
      <c r="M37" s="135">
        <f>IF(H37&lt;=NoEchMaxi,ROUND(L37*R37,NbDeci),0)</f>
        <v>0</v>
      </c>
      <c r="N37" s="134">
        <f>IF(OR(H37&lt;=Différé,H37&gt;NoEchMaxi),IF(DiffTotal,-M37,0),IF(H37&gt;=NoEchRemb,L37,IF(S37-(M37*EchFIXE)&gt;L37-2,L37,S37-(M37*EchFIXE))))+C37</f>
        <v>0</v>
      </c>
      <c r="O37" s="136">
        <f>IF(OR(L37=0,H37&gt;NoEchMaxi),0,ROUND(FraisF+FraisV*L37,NbDeci))+F37</f>
        <v>0</v>
      </c>
      <c r="P37" s="148">
        <f t="shared" si="3"/>
        <v>0</v>
      </c>
      <c r="Q37" s="1"/>
      <c r="R37" s="138">
        <f>IF(B37&gt;0,IF(TauxActuariel,((B37+1)^(1/NbEchAn))-1,B37/NbEchAn),R36)</f>
        <v>0.04</v>
      </c>
      <c r="S37" s="139">
        <f>IF(E37&gt;0,E37,IF(D37&gt;0,IF(AND(EchFIXE,R37&gt;0),ROUND((L37-C37)*R37/(1-((1+R37)^-D37)),NbDeci),ROUND(L37/D37,NbDeci)),S36))</f>
        <v>6664</v>
      </c>
      <c r="T37" s="1"/>
      <c r="U37" s="1"/>
      <c r="V37" s="1"/>
      <c r="W37" s="1"/>
      <c r="X37" s="1"/>
      <c r="Y37" s="1"/>
      <c r="Z37" s="1"/>
      <c r="AA37" s="1"/>
    </row>
    <row r="38" ht="12.75" customHeight="1">
      <c r="A38" s="1"/>
      <c r="B38" s="140"/>
      <c r="C38" s="141"/>
      <c r="D38" s="142"/>
      <c r="E38" s="143"/>
      <c r="F38" s="144"/>
      <c r="G38" s="1"/>
      <c r="H38" s="131" t="str">
        <f t="shared" si="4"/>
        <v/>
      </c>
      <c r="I38" s="132" t="str">
        <f>IF(L38&gt;0,NbEch+Différé+1-H38,"")</f>
        <v/>
      </c>
      <c r="J38" s="145" t="str">
        <f t="shared" si="2"/>
        <v/>
      </c>
      <c r="K38" s="146" t="str">
        <f>IF(L38=0,"",IF(Ijour=0,MIN(DATE(YEAR(DebAmort),MONTH(DebAmort)+MoisD+(H38-1)*Imois,Jour2),DATE(YEAR(DebAmort),MONTH(DebAmort)+MoisD+1+(H38-1)*Imois,0)),DATE(YEAR(DebAmort),MONTH(DebAmort),Jour1+(H38-1)*Ijour)))</f>
        <v/>
      </c>
      <c r="L38" s="147">
        <f t="shared" si="5"/>
        <v>0</v>
      </c>
      <c r="M38" s="135">
        <f>IF(H38&lt;=NoEchMaxi,ROUND(L38*R38,NbDeci),0)</f>
        <v>0</v>
      </c>
      <c r="N38" s="134">
        <f>IF(OR(H38&lt;=Différé,H38&gt;NoEchMaxi),IF(DiffTotal,-M38,0),IF(H38&gt;=NoEchRemb,L38,IF(S38-(M38*EchFIXE)&gt;L38-2,L38,S38-(M38*EchFIXE))))+C38</f>
        <v>0</v>
      </c>
      <c r="O38" s="136">
        <f>IF(OR(L38=0,H38&gt;NoEchMaxi),0,ROUND(FraisF+FraisV*L38,NbDeci))+F38</f>
        <v>0</v>
      </c>
      <c r="P38" s="148">
        <f t="shared" si="3"/>
        <v>0</v>
      </c>
      <c r="Q38" s="1"/>
      <c r="R38" s="138">
        <f>IF(B38&gt;0,IF(TauxActuariel,((B38+1)^(1/NbEchAn))-1,B38/NbEchAn),R37)</f>
        <v>0.04</v>
      </c>
      <c r="S38" s="139">
        <f>IF(E38&gt;0,E38,IF(D38&gt;0,IF(AND(EchFIXE,R38&gt;0),ROUND((L38-C38)*R38/(1-((1+R38)^-D38)),NbDeci),ROUND(L38/D38,NbDeci)),S37))</f>
        <v>6664</v>
      </c>
      <c r="T38" s="1"/>
      <c r="U38" s="1"/>
      <c r="V38" s="1"/>
      <c r="W38" s="1"/>
      <c r="X38" s="1"/>
      <c r="Y38" s="1"/>
      <c r="Z38" s="1"/>
      <c r="AA38" s="1"/>
    </row>
    <row r="39" ht="12.75" customHeight="1">
      <c r="A39" s="1"/>
      <c r="B39" s="140"/>
      <c r="C39" s="141"/>
      <c r="D39" s="142"/>
      <c r="E39" s="143"/>
      <c r="F39" s="144"/>
      <c r="G39" s="1"/>
      <c r="H39" s="131" t="str">
        <f t="shared" si="4"/>
        <v/>
      </c>
      <c r="I39" s="132" t="str">
        <f>IF(L39&gt;0,NbEch+Différé+1-H39,"")</f>
        <v/>
      </c>
      <c r="J39" s="145" t="str">
        <f t="shared" si="2"/>
        <v/>
      </c>
      <c r="K39" s="146" t="str">
        <f>IF(L39=0,"",IF(Ijour=0,MIN(DATE(YEAR(DebAmort),MONTH(DebAmort)+(H39-1)*Imois,Jour1),DATE(YEAR(DebAmort),MONTH(DebAmort)+1+(H39-1)*Imois,0)),DATE(YEAR(DebAmort),MONTH(DebAmort),Jour1+(H39-1)*Ijour)))</f>
        <v/>
      </c>
      <c r="L39" s="147">
        <f t="shared" si="5"/>
        <v>0</v>
      </c>
      <c r="M39" s="135">
        <f>IF(H39&lt;=NoEchMaxi,ROUND(L39*R39,NbDeci),0)</f>
        <v>0</v>
      </c>
      <c r="N39" s="134">
        <f>IF(OR(H39&lt;=Différé,H39&gt;NoEchMaxi),IF(DiffTotal,-M39,0),IF(H39&gt;=NoEchRemb,L39,IF(S39-(M39*EchFIXE)&gt;L39-2,L39,S39-(M39*EchFIXE))))+C39</f>
        <v>0</v>
      </c>
      <c r="O39" s="136">
        <f>IF(OR(L39=0,H39&gt;NoEchMaxi),0,ROUND(FraisF+FraisV*L39,NbDeci))+F39</f>
        <v>0</v>
      </c>
      <c r="P39" s="148">
        <f t="shared" si="3"/>
        <v>0</v>
      </c>
      <c r="Q39" s="1"/>
      <c r="R39" s="138">
        <f>IF(B39&gt;0,IF(TauxActuariel,((B39+1)^(1/NbEchAn))-1,B39/NbEchAn),R38)</f>
        <v>0.04</v>
      </c>
      <c r="S39" s="139">
        <f>IF(E39&gt;0,E39,IF(D39&gt;0,IF(AND(EchFIXE,R39&gt;0),ROUND((L39-C39)*R39/(1-((1+R39)^-D39)),NbDeci),ROUND(L39/D39,NbDeci)),S38))</f>
        <v>6664</v>
      </c>
      <c r="T39" s="1"/>
      <c r="U39" s="1"/>
      <c r="V39" s="1"/>
      <c r="W39" s="1"/>
      <c r="X39" s="1"/>
      <c r="Y39" s="1"/>
      <c r="Z39" s="1"/>
      <c r="AA39" s="1"/>
    </row>
    <row r="40" ht="12.75" customHeight="1">
      <c r="A40" s="1"/>
      <c r="B40" s="140"/>
      <c r="C40" s="141"/>
      <c r="D40" s="142"/>
      <c r="E40" s="143"/>
      <c r="F40" s="144"/>
      <c r="G40" s="1"/>
      <c r="H40" s="131" t="str">
        <f t="shared" si="4"/>
        <v/>
      </c>
      <c r="I40" s="132" t="str">
        <f>IF(L40&gt;0,NbEch+Différé+1-H40,"")</f>
        <v/>
      </c>
      <c r="J40" s="145" t="str">
        <f t="shared" si="2"/>
        <v/>
      </c>
      <c r="K40" s="146" t="str">
        <f>IF(L40=0,"",IF(Ijour=0,MIN(DATE(YEAR(DebAmort),MONTH(DebAmort)+MoisD+(H40-1)*Imois,Jour2),DATE(YEAR(DebAmort),MONTH(DebAmort)+MoisD+1+(H40-1)*Imois,0)),DATE(YEAR(DebAmort),MONTH(DebAmort),Jour1+(H40-1)*Ijour)))</f>
        <v/>
      </c>
      <c r="L40" s="147">
        <f t="shared" si="5"/>
        <v>0</v>
      </c>
      <c r="M40" s="135">
        <f>IF(H40&lt;=NoEchMaxi,ROUND(L40*R40,NbDeci),0)</f>
        <v>0</v>
      </c>
      <c r="N40" s="134">
        <f>IF(OR(H40&lt;=Différé,H40&gt;NoEchMaxi),IF(DiffTotal,-M40,0),IF(H40&gt;=NoEchRemb,L40,IF(S40-(M40*EchFIXE)&gt;L40-2,L40,S40-(M40*EchFIXE))))+C40</f>
        <v>0</v>
      </c>
      <c r="O40" s="136">
        <f>IF(OR(L40=0,H40&gt;NoEchMaxi),0,ROUND(FraisF+FraisV*L40,NbDeci))+F40</f>
        <v>0</v>
      </c>
      <c r="P40" s="148">
        <f t="shared" si="3"/>
        <v>0</v>
      </c>
      <c r="Q40" s="1"/>
      <c r="R40" s="138">
        <f>IF(B40&gt;0,IF(TauxActuariel,((B40+1)^(1/NbEchAn))-1,B40/NbEchAn),R39)</f>
        <v>0.04</v>
      </c>
      <c r="S40" s="139">
        <f>IF(E40&gt;0,E40,IF(D40&gt;0,IF(AND(EchFIXE,R40&gt;0),ROUND((L40-C40)*R40/(1-((1+R40)^-D40)),NbDeci),ROUND(L40/D40,NbDeci)),S39))</f>
        <v>6664</v>
      </c>
      <c r="T40" s="1"/>
      <c r="U40" s="1"/>
      <c r="V40" s="1"/>
      <c r="W40" s="1"/>
      <c r="X40" s="1"/>
      <c r="Y40" s="1"/>
      <c r="Z40" s="1"/>
      <c r="AA40" s="1"/>
    </row>
    <row r="41" ht="12.75" customHeight="1">
      <c r="A41" s="1"/>
      <c r="B41" s="140"/>
      <c r="C41" s="141"/>
      <c r="D41" s="142"/>
      <c r="E41" s="143"/>
      <c r="F41" s="144"/>
      <c r="G41" s="1"/>
      <c r="H41" s="131" t="str">
        <f t="shared" si="4"/>
        <v/>
      </c>
      <c r="I41" s="132" t="str">
        <f>IF(L41&gt;0,NbEch+Différé+1-H41,"")</f>
        <v/>
      </c>
      <c r="J41" s="145" t="str">
        <f t="shared" si="2"/>
        <v/>
      </c>
      <c r="K41" s="146" t="str">
        <f>IF(L41=0,"",IF(Ijour=0,MIN(DATE(YEAR(DebAmort),MONTH(DebAmort)+(H41-1)*Imois,Jour1),DATE(YEAR(DebAmort),MONTH(DebAmort)+1+(H41-1)*Imois,0)),DATE(YEAR(DebAmort),MONTH(DebAmort),Jour1+(H41-1)*Ijour)))</f>
        <v/>
      </c>
      <c r="L41" s="147">
        <f t="shared" si="5"/>
        <v>0</v>
      </c>
      <c r="M41" s="135">
        <f>IF(H41&lt;=NoEchMaxi,ROUND(L41*R41,NbDeci),0)</f>
        <v>0</v>
      </c>
      <c r="N41" s="134">
        <f>IF(OR(H41&lt;=Différé,H41&gt;NoEchMaxi),IF(DiffTotal,-M41,0),IF(H41&gt;=NoEchRemb,L41,IF(S41-(M41*EchFIXE)&gt;L41-2,L41,S41-(M41*EchFIXE))))+C41</f>
        <v>0</v>
      </c>
      <c r="O41" s="136">
        <f>IF(OR(L41=0,H41&gt;NoEchMaxi),0,ROUND(FraisF+FraisV*L41,NbDeci))+F41</f>
        <v>0</v>
      </c>
      <c r="P41" s="148">
        <f t="shared" si="3"/>
        <v>0</v>
      </c>
      <c r="Q41" s="1"/>
      <c r="R41" s="138">
        <f>IF(B41&gt;0,IF(TauxActuariel,((B41+1)^(1/NbEchAn))-1,B41/NbEchAn),R40)</f>
        <v>0.04</v>
      </c>
      <c r="S41" s="139">
        <f>IF(E41&gt;0,E41,IF(D41&gt;0,IF(AND(EchFIXE,R41&gt;0),ROUND((L41-C41)*R41/(1-((1+R41)^-D41)),NbDeci),ROUND(L41/D41,NbDeci)),S40))</f>
        <v>6664</v>
      </c>
      <c r="T41" s="1"/>
      <c r="U41" s="1"/>
      <c r="V41" s="1"/>
      <c r="W41" s="1"/>
      <c r="X41" s="1"/>
      <c r="Y41" s="1"/>
      <c r="Z41" s="1"/>
      <c r="AA41" s="1"/>
    </row>
    <row r="42" ht="12.75" customHeight="1">
      <c r="A42" s="1"/>
      <c r="B42" s="140"/>
      <c r="C42" s="141"/>
      <c r="D42" s="142"/>
      <c r="E42" s="143"/>
      <c r="F42" s="144"/>
      <c r="G42" s="1"/>
      <c r="H42" s="131" t="str">
        <f t="shared" si="4"/>
        <v/>
      </c>
      <c r="I42" s="132" t="str">
        <f>IF(L42&gt;0,NbEch+Différé+1-H42,"")</f>
        <v/>
      </c>
      <c r="J42" s="145" t="str">
        <f t="shared" si="2"/>
        <v/>
      </c>
      <c r="K42" s="146" t="str">
        <f>IF(L42=0,"",IF(Ijour=0,MIN(DATE(YEAR(DebAmort),MONTH(DebAmort)+MoisD+(H42-1)*Imois,Jour2),DATE(YEAR(DebAmort),MONTH(DebAmort)+MoisD+1+(H42-1)*Imois,0)),DATE(YEAR(DebAmort),MONTH(DebAmort),Jour1+(H42-1)*Ijour)))</f>
        <v/>
      </c>
      <c r="L42" s="147">
        <f t="shared" si="5"/>
        <v>0</v>
      </c>
      <c r="M42" s="135">
        <f>IF(H42&lt;=NoEchMaxi,ROUND(L42*R42,NbDeci),0)</f>
        <v>0</v>
      </c>
      <c r="N42" s="134">
        <f>IF(OR(H42&lt;=Différé,H42&gt;NoEchMaxi),IF(DiffTotal,-M42,0),IF(H42&gt;=NoEchRemb,L42,IF(S42-(M42*EchFIXE)&gt;L42-2,L42,S42-(M42*EchFIXE))))+C42</f>
        <v>0</v>
      </c>
      <c r="O42" s="136">
        <f>IF(OR(L42=0,H42&gt;NoEchMaxi),0,ROUND(FraisF+FraisV*L42,NbDeci))+F42</f>
        <v>0</v>
      </c>
      <c r="P42" s="148">
        <f t="shared" si="3"/>
        <v>0</v>
      </c>
      <c r="Q42" s="1"/>
      <c r="R42" s="138">
        <f>IF(B42&gt;0,IF(TauxActuariel,((B42+1)^(1/NbEchAn))-1,B42/NbEchAn),R41)</f>
        <v>0.04</v>
      </c>
      <c r="S42" s="139">
        <f>IF(E42&gt;0,E42,IF(D42&gt;0,IF(AND(EchFIXE,R42&gt;0),ROUND((L42-C42)*R42/(1-((1+R42)^-D42)),NbDeci),ROUND(L42/D42,NbDeci)),S41))</f>
        <v>6664</v>
      </c>
      <c r="T42" s="1"/>
      <c r="U42" s="1"/>
      <c r="V42" s="1"/>
      <c r="W42" s="1"/>
      <c r="X42" s="1"/>
      <c r="Y42" s="1"/>
      <c r="Z42" s="1"/>
      <c r="AA42" s="1"/>
    </row>
    <row r="43" ht="12.75" customHeight="1">
      <c r="A43" s="1"/>
      <c r="B43" s="140"/>
      <c r="C43" s="141"/>
      <c r="D43" s="142"/>
      <c r="E43" s="143"/>
      <c r="F43" s="144"/>
      <c r="G43" s="1"/>
      <c r="H43" s="131" t="str">
        <f t="shared" si="4"/>
        <v/>
      </c>
      <c r="I43" s="132" t="str">
        <f>IF(L43&gt;0,NbEch+Différé+1-H43,"")</f>
        <v/>
      </c>
      <c r="J43" s="145" t="str">
        <f t="shared" si="2"/>
        <v/>
      </c>
      <c r="K43" s="146" t="str">
        <f>IF(L43=0,"",IF(Ijour=0,MIN(DATE(YEAR(DebAmort),MONTH(DebAmort)+(H43-1)*Imois,Jour1),DATE(YEAR(DebAmort),MONTH(DebAmort)+1+(H43-1)*Imois,0)),DATE(YEAR(DebAmort),MONTH(DebAmort),Jour1+(H43-1)*Ijour)))</f>
        <v/>
      </c>
      <c r="L43" s="147">
        <f t="shared" si="5"/>
        <v>0</v>
      </c>
      <c r="M43" s="135">
        <f>IF(H43&lt;=NoEchMaxi,ROUND(L43*R43,NbDeci),0)</f>
        <v>0</v>
      </c>
      <c r="N43" s="134">
        <f>IF(OR(H43&lt;=Différé,H43&gt;NoEchMaxi),IF(DiffTotal,-M43,0),IF(H43&gt;=NoEchRemb,L43,IF(S43-(M43*EchFIXE)&gt;L43-2,L43,S43-(M43*EchFIXE))))+C43</f>
        <v>0</v>
      </c>
      <c r="O43" s="136">
        <f>IF(OR(L43=0,H43&gt;NoEchMaxi),0,ROUND(FraisF+FraisV*L43,NbDeci))+F43</f>
        <v>0</v>
      </c>
      <c r="P43" s="148">
        <f t="shared" si="3"/>
        <v>0</v>
      </c>
      <c r="Q43" s="1"/>
      <c r="R43" s="138">
        <f>IF(B43&gt;0,IF(TauxActuariel,((B43+1)^(1/NbEchAn))-1,B43/NbEchAn),R42)</f>
        <v>0.04</v>
      </c>
      <c r="S43" s="139">
        <f>IF(E43&gt;0,E43,IF(D43&gt;0,IF(AND(EchFIXE,R43&gt;0),ROUND((L43-C43)*R43/(1-((1+R43)^-D43)),NbDeci),ROUND(L43/D43,NbDeci)),S42))</f>
        <v>6664</v>
      </c>
      <c r="T43" s="1"/>
      <c r="U43" s="1"/>
      <c r="V43" s="1"/>
      <c r="W43" s="1"/>
      <c r="X43" s="1"/>
      <c r="Y43" s="1"/>
      <c r="Z43" s="1"/>
      <c r="AA43" s="1"/>
    </row>
    <row r="44" ht="12.75" customHeight="1">
      <c r="A44" s="1"/>
      <c r="B44" s="140"/>
      <c r="C44" s="141"/>
      <c r="D44" s="142"/>
      <c r="E44" s="143"/>
      <c r="F44" s="144"/>
      <c r="G44" s="1"/>
      <c r="H44" s="131" t="str">
        <f t="shared" si="4"/>
        <v/>
      </c>
      <c r="I44" s="132" t="str">
        <f>IF(L44&gt;0,NbEch+Différé+1-H44,"")</f>
        <v/>
      </c>
      <c r="J44" s="145" t="str">
        <f t="shared" si="2"/>
        <v/>
      </c>
      <c r="K44" s="146" t="str">
        <f>IF(L44=0,"",IF(Ijour=0,MIN(DATE(YEAR(DebAmort),MONTH(DebAmort)+MoisD+(H44-1)*Imois,Jour2),DATE(YEAR(DebAmort),MONTH(DebAmort)+MoisD+1+(H44-1)*Imois,0)),DATE(YEAR(DebAmort),MONTH(DebAmort),Jour1+(H44-1)*Ijour)))</f>
        <v/>
      </c>
      <c r="L44" s="147">
        <f t="shared" si="5"/>
        <v>0</v>
      </c>
      <c r="M44" s="135">
        <f>IF(H44&lt;=NoEchMaxi,ROUND(L44*R44,NbDeci),0)</f>
        <v>0</v>
      </c>
      <c r="N44" s="134">
        <f>IF(OR(H44&lt;=Différé,H44&gt;NoEchMaxi),IF(DiffTotal,-M44,0),IF(H44&gt;=NoEchRemb,L44,IF(S44-(M44*EchFIXE)&gt;L44-2,L44,S44-(M44*EchFIXE))))+C44</f>
        <v>0</v>
      </c>
      <c r="O44" s="136">
        <f>IF(OR(L44=0,H44&gt;NoEchMaxi),0,ROUND(FraisF+FraisV*L44,NbDeci))+F44</f>
        <v>0</v>
      </c>
      <c r="P44" s="148">
        <f t="shared" si="3"/>
        <v>0</v>
      </c>
      <c r="Q44" s="1"/>
      <c r="R44" s="138">
        <f>IF(B44&gt;0,IF(TauxActuariel,((B44+1)^(1/NbEchAn))-1,B44/NbEchAn),R43)</f>
        <v>0.04</v>
      </c>
      <c r="S44" s="139">
        <f>IF(E44&gt;0,E44,IF(D44&gt;0,IF(AND(EchFIXE,R44&gt;0),ROUND((L44-C44)*R44/(1-((1+R44)^-D44)),NbDeci),ROUND(L44/D44,NbDeci)),S43))</f>
        <v>6664</v>
      </c>
      <c r="T44" s="1"/>
      <c r="U44" s="1"/>
      <c r="V44" s="1"/>
      <c r="W44" s="1"/>
      <c r="X44" s="1"/>
      <c r="Y44" s="1"/>
      <c r="Z44" s="1"/>
      <c r="AA44" s="1"/>
    </row>
    <row r="45" ht="12.75" customHeight="1">
      <c r="A45" s="1"/>
      <c r="B45" s="140"/>
      <c r="C45" s="141"/>
      <c r="D45" s="142"/>
      <c r="E45" s="143"/>
      <c r="F45" s="144"/>
      <c r="G45" s="1"/>
      <c r="H45" s="131" t="str">
        <f t="shared" si="4"/>
        <v/>
      </c>
      <c r="I45" s="132" t="str">
        <f>IF(L45&gt;0,NbEch+Différé+1-H45,"")</f>
        <v/>
      </c>
      <c r="J45" s="145" t="str">
        <f t="shared" si="2"/>
        <v/>
      </c>
      <c r="K45" s="146" t="str">
        <f>IF(L45=0,"",IF(Ijour=0,MIN(DATE(YEAR(DebAmort),MONTH(DebAmort)+(H45-1)*Imois,Jour1),DATE(YEAR(DebAmort),MONTH(DebAmort)+1+(H45-1)*Imois,0)),DATE(YEAR(DebAmort),MONTH(DebAmort),Jour1+(H45-1)*Ijour)))</f>
        <v/>
      </c>
      <c r="L45" s="147">
        <f t="shared" si="5"/>
        <v>0</v>
      </c>
      <c r="M45" s="135">
        <f>IF(H45&lt;=NoEchMaxi,ROUND(L45*R45,NbDeci),0)</f>
        <v>0</v>
      </c>
      <c r="N45" s="134">
        <f>IF(OR(H45&lt;=Différé,H45&gt;NoEchMaxi),IF(DiffTotal,-M45,0),IF(H45&gt;=NoEchRemb,L45,IF(S45-(M45*EchFIXE)&gt;L45-2,L45,S45-(M45*EchFIXE))))+C45</f>
        <v>0</v>
      </c>
      <c r="O45" s="136">
        <f>IF(OR(L45=0,H45&gt;NoEchMaxi),0,ROUND(FraisF+FraisV*L45,NbDeci))+F45</f>
        <v>0</v>
      </c>
      <c r="P45" s="148">
        <f t="shared" si="3"/>
        <v>0</v>
      </c>
      <c r="Q45" s="1"/>
      <c r="R45" s="138">
        <f>IF(B45&gt;0,IF(TauxActuariel,((B45+1)^(1/NbEchAn))-1,B45/NbEchAn),R44)</f>
        <v>0.04</v>
      </c>
      <c r="S45" s="139">
        <f>IF(E45&gt;0,E45,IF(D45&gt;0,IF(AND(EchFIXE,R45&gt;0),ROUND((L45-C45)*R45/(1-((1+R45)^-D45)),NbDeci),ROUND(L45/D45,NbDeci)),S44))</f>
        <v>6664</v>
      </c>
      <c r="T45" s="1"/>
      <c r="U45" s="1"/>
      <c r="V45" s="1"/>
      <c r="W45" s="1"/>
      <c r="X45" s="1"/>
      <c r="Y45" s="1"/>
      <c r="Z45" s="1"/>
      <c r="AA45" s="1"/>
    </row>
    <row r="46" ht="12.75" customHeight="1">
      <c r="A46" s="1"/>
      <c r="B46" s="140"/>
      <c r="C46" s="141"/>
      <c r="D46" s="142"/>
      <c r="E46" s="143"/>
      <c r="F46" s="144"/>
      <c r="G46" s="1"/>
      <c r="H46" s="131" t="str">
        <f t="shared" si="4"/>
        <v/>
      </c>
      <c r="I46" s="132" t="str">
        <f>IF(L46&gt;0,NbEch+Différé+1-H46,"")</f>
        <v/>
      </c>
      <c r="J46" s="145" t="str">
        <f t="shared" si="2"/>
        <v/>
      </c>
      <c r="K46" s="146" t="str">
        <f>IF(L46=0,"",IF(Ijour=0,MIN(DATE(YEAR(DebAmort),MONTH(DebAmort)+MoisD+(H46-1)*Imois,Jour2),DATE(YEAR(DebAmort),MONTH(DebAmort)+MoisD+1+(H46-1)*Imois,0)),DATE(YEAR(DebAmort),MONTH(DebAmort),Jour1+(H46-1)*Ijour)))</f>
        <v/>
      </c>
      <c r="L46" s="147">
        <f t="shared" si="5"/>
        <v>0</v>
      </c>
      <c r="M46" s="135">
        <f>IF(H46&lt;=NoEchMaxi,ROUND(L46*R46,NbDeci),0)</f>
        <v>0</v>
      </c>
      <c r="N46" s="134">
        <f>IF(OR(H46&lt;=Différé,H46&gt;NoEchMaxi),IF(DiffTotal,-M46,0),IF(H46&gt;=NoEchRemb,L46,IF(S46-(M46*EchFIXE)&gt;L46-2,L46,S46-(M46*EchFIXE))))+C46</f>
        <v>0</v>
      </c>
      <c r="O46" s="136">
        <f>IF(OR(L46=0,H46&gt;NoEchMaxi),0,ROUND(FraisF+FraisV*L46,NbDeci))+F46</f>
        <v>0</v>
      </c>
      <c r="P46" s="148">
        <f t="shared" si="3"/>
        <v>0</v>
      </c>
      <c r="Q46" s="1"/>
      <c r="R46" s="138">
        <f>IF(B46&gt;0,IF(TauxActuariel,((B46+1)^(1/NbEchAn))-1,B46/NbEchAn),R45)</f>
        <v>0.04</v>
      </c>
      <c r="S46" s="139">
        <f>IF(E46&gt;0,E46,IF(D46&gt;0,IF(AND(EchFIXE,R46&gt;0),ROUND((L46-C46)*R46/(1-((1+R46)^-D46)),NbDeci),ROUND(L46/D46,NbDeci)),S45))</f>
        <v>6664</v>
      </c>
      <c r="T46" s="1"/>
      <c r="U46" s="1"/>
      <c r="V46" s="1"/>
      <c r="W46" s="1"/>
      <c r="X46" s="1"/>
      <c r="Y46" s="1"/>
      <c r="Z46" s="1"/>
      <c r="AA46" s="1"/>
    </row>
    <row r="47" ht="12.75" customHeight="1">
      <c r="A47" s="1"/>
      <c r="B47" s="140"/>
      <c r="C47" s="141"/>
      <c r="D47" s="142"/>
      <c r="E47" s="143"/>
      <c r="F47" s="144"/>
      <c r="G47" s="1"/>
      <c r="H47" s="131" t="str">
        <f t="shared" si="4"/>
        <v/>
      </c>
      <c r="I47" s="132" t="str">
        <f>IF(L47&gt;0,NbEch+Différé+1-H47,"")</f>
        <v/>
      </c>
      <c r="J47" s="145" t="str">
        <f t="shared" si="2"/>
        <v/>
      </c>
      <c r="K47" s="146" t="str">
        <f>IF(L47=0,"",IF(Ijour=0,MIN(DATE(YEAR(DebAmort),MONTH(DebAmort)+(H47-1)*Imois,Jour1),DATE(YEAR(DebAmort),MONTH(DebAmort)+1+(H47-1)*Imois,0)),DATE(YEAR(DebAmort),MONTH(DebAmort),Jour1+(H47-1)*Ijour)))</f>
        <v/>
      </c>
      <c r="L47" s="147">
        <f t="shared" si="5"/>
        <v>0</v>
      </c>
      <c r="M47" s="135">
        <f>IF(H47&lt;=NoEchMaxi,ROUND(L47*R47,NbDeci),0)</f>
        <v>0</v>
      </c>
      <c r="N47" s="134">
        <f>IF(OR(H47&lt;=Différé,H47&gt;NoEchMaxi),IF(DiffTotal,-M47,0),IF(H47&gt;=NoEchRemb,L47,IF(S47-(M47*EchFIXE)&gt;L47-2,L47,S47-(M47*EchFIXE))))+C47</f>
        <v>0</v>
      </c>
      <c r="O47" s="136">
        <f>IF(OR(L47=0,H47&gt;NoEchMaxi),0,ROUND(FraisF+FraisV*L47,NbDeci))+F47</f>
        <v>0</v>
      </c>
      <c r="P47" s="148">
        <f t="shared" si="3"/>
        <v>0</v>
      </c>
      <c r="Q47" s="1"/>
      <c r="R47" s="138">
        <f>IF(B47&gt;0,IF(TauxActuariel,((B47+1)^(1/NbEchAn))-1,B47/NbEchAn),R46)</f>
        <v>0.04</v>
      </c>
      <c r="S47" s="139">
        <f>IF(E47&gt;0,E47,IF(D47&gt;0,IF(AND(EchFIXE,R47&gt;0),ROUND((L47-C47)*R47/(1-((1+R47)^-D47)),NbDeci),ROUND(L47/D47,NbDeci)),S46))</f>
        <v>6664</v>
      </c>
      <c r="T47" s="1"/>
      <c r="U47" s="1"/>
      <c r="V47" s="1"/>
      <c r="W47" s="1"/>
      <c r="X47" s="1"/>
      <c r="Y47" s="1"/>
      <c r="Z47" s="1"/>
      <c r="AA47" s="1"/>
    </row>
    <row r="48" ht="12.75" customHeight="1">
      <c r="A48" s="1"/>
      <c r="B48" s="140"/>
      <c r="C48" s="141"/>
      <c r="D48" s="142"/>
      <c r="E48" s="143"/>
      <c r="F48" s="144"/>
      <c r="G48" s="1"/>
      <c r="H48" s="131" t="str">
        <f t="shared" si="4"/>
        <v/>
      </c>
      <c r="I48" s="132" t="str">
        <f>IF(L48&gt;0,NbEch+Différé+1-H48,"")</f>
        <v/>
      </c>
      <c r="J48" s="145" t="str">
        <f t="shared" si="2"/>
        <v/>
      </c>
      <c r="K48" s="146" t="str">
        <f>IF(L48=0,"",IF(Ijour=0,MIN(DATE(YEAR(DebAmort),MONTH(DebAmort)+MoisD+(H48-1)*Imois,Jour2),DATE(YEAR(DebAmort),MONTH(DebAmort)+MoisD+1+(H48-1)*Imois,0)),DATE(YEAR(DebAmort),MONTH(DebAmort),Jour1+(H48-1)*Ijour)))</f>
        <v/>
      </c>
      <c r="L48" s="147">
        <f t="shared" si="5"/>
        <v>0</v>
      </c>
      <c r="M48" s="135">
        <f>IF(H48&lt;=NoEchMaxi,ROUND(L48*R48,NbDeci),0)</f>
        <v>0</v>
      </c>
      <c r="N48" s="134">
        <f>IF(OR(H48&lt;=Différé,H48&gt;NoEchMaxi),IF(DiffTotal,-M48,0),IF(H48&gt;=NoEchRemb,L48,IF(S48-(M48*EchFIXE)&gt;L48-2,L48,S48-(M48*EchFIXE))))+C48</f>
        <v>0</v>
      </c>
      <c r="O48" s="136">
        <f>IF(OR(L48=0,H48&gt;NoEchMaxi),0,ROUND(FraisF+FraisV*L48,NbDeci))+F48</f>
        <v>0</v>
      </c>
      <c r="P48" s="148">
        <f t="shared" si="3"/>
        <v>0</v>
      </c>
      <c r="Q48" s="1"/>
      <c r="R48" s="138">
        <f>IF(B48&gt;0,IF(TauxActuariel,((B48+1)^(1/NbEchAn))-1,B48/NbEchAn),R47)</f>
        <v>0.04</v>
      </c>
      <c r="S48" s="139">
        <f>IF(E48&gt;0,E48,IF(D48&gt;0,IF(AND(EchFIXE,R48&gt;0),ROUND((L48-C48)*R48/(1-((1+R48)^-D48)),NbDeci),ROUND(L48/D48,NbDeci)),S47))</f>
        <v>6664</v>
      </c>
      <c r="T48" s="1"/>
      <c r="U48" s="1"/>
      <c r="V48" s="1"/>
      <c r="W48" s="1"/>
      <c r="X48" s="1"/>
      <c r="Y48" s="1"/>
      <c r="Z48" s="1"/>
      <c r="AA48" s="1"/>
    </row>
    <row r="49" ht="12.75" customHeight="1">
      <c r="A49" s="1"/>
      <c r="B49" s="140"/>
      <c r="C49" s="141"/>
      <c r="D49" s="142"/>
      <c r="E49" s="143"/>
      <c r="F49" s="144"/>
      <c r="G49" s="1"/>
      <c r="H49" s="131" t="str">
        <f t="shared" si="4"/>
        <v/>
      </c>
      <c r="I49" s="132" t="str">
        <f>IF(L49&gt;0,NbEch+Différé+1-H49,"")</f>
        <v/>
      </c>
      <c r="J49" s="145" t="str">
        <f t="shared" si="2"/>
        <v/>
      </c>
      <c r="K49" s="146" t="str">
        <f>IF(L49=0,"",IF(Ijour=0,MIN(DATE(YEAR(DebAmort),MONTH(DebAmort)+(H49-1)*Imois,Jour1),DATE(YEAR(DebAmort),MONTH(DebAmort)+1+(H49-1)*Imois,0)),DATE(YEAR(DebAmort),MONTH(DebAmort),Jour1+(H49-1)*Ijour)))</f>
        <v/>
      </c>
      <c r="L49" s="147">
        <f t="shared" si="5"/>
        <v>0</v>
      </c>
      <c r="M49" s="135">
        <f>IF(H49&lt;=NoEchMaxi,ROUND(L49*R49,NbDeci),0)</f>
        <v>0</v>
      </c>
      <c r="N49" s="134">
        <f>IF(OR(H49&lt;=Différé,H49&gt;NoEchMaxi),IF(DiffTotal,-M49,0),IF(H49&gt;=NoEchRemb,L49,IF(S49-(M49*EchFIXE)&gt;L49-2,L49,S49-(M49*EchFIXE))))+C49</f>
        <v>0</v>
      </c>
      <c r="O49" s="136">
        <f>IF(OR(L49=0,H49&gt;NoEchMaxi),0,ROUND(FraisF+FraisV*L49,NbDeci))+F49</f>
        <v>0</v>
      </c>
      <c r="P49" s="148">
        <f t="shared" si="3"/>
        <v>0</v>
      </c>
      <c r="Q49" s="1"/>
      <c r="R49" s="138">
        <f>IF(B49&gt;0,IF(TauxActuariel,((B49+1)^(1/NbEchAn))-1,B49/NbEchAn),R48)</f>
        <v>0.04</v>
      </c>
      <c r="S49" s="139">
        <f>IF(E49&gt;0,E49,IF(D49&gt;0,IF(AND(EchFIXE,R49&gt;0),ROUND((L49-C49)*R49/(1-((1+R49)^-D49)),NbDeci),ROUND(L49/D49,NbDeci)),S48))</f>
        <v>6664</v>
      </c>
      <c r="T49" s="1"/>
      <c r="U49" s="1"/>
      <c r="V49" s="1"/>
      <c r="W49" s="1"/>
      <c r="X49" s="1"/>
      <c r="Y49" s="1"/>
      <c r="Z49" s="1"/>
      <c r="AA49" s="1"/>
    </row>
    <row r="50" ht="12.75" customHeight="1">
      <c r="A50" s="1"/>
      <c r="B50" s="140"/>
      <c r="C50" s="141"/>
      <c r="D50" s="142"/>
      <c r="E50" s="143"/>
      <c r="F50" s="144"/>
      <c r="G50" s="1"/>
      <c r="H50" s="131" t="str">
        <f t="shared" si="4"/>
        <v/>
      </c>
      <c r="I50" s="132" t="str">
        <f>IF(L50&gt;0,NbEch+Différé+1-H50,"")</f>
        <v/>
      </c>
      <c r="J50" s="145" t="str">
        <f t="shared" si="2"/>
        <v/>
      </c>
      <c r="K50" s="146" t="str">
        <f>IF(L50=0,"",IF(Ijour=0,MIN(DATE(YEAR(DebAmort),MONTH(DebAmort)+MoisD+(H50-1)*Imois,Jour2),DATE(YEAR(DebAmort),MONTH(DebAmort)+MoisD+1+(H50-1)*Imois,0)),DATE(YEAR(DebAmort),MONTH(DebAmort),Jour1+(H50-1)*Ijour)))</f>
        <v/>
      </c>
      <c r="L50" s="147">
        <f t="shared" si="5"/>
        <v>0</v>
      </c>
      <c r="M50" s="135">
        <f>IF(H50&lt;=NoEchMaxi,ROUND(L50*R50,NbDeci),0)</f>
        <v>0</v>
      </c>
      <c r="N50" s="134">
        <f>IF(OR(H50&lt;=Différé,H50&gt;NoEchMaxi),IF(DiffTotal,-M50,0),IF(H50&gt;=NoEchRemb,L50,IF(S50-(M50*EchFIXE)&gt;L50-2,L50,S50-(M50*EchFIXE))))+C50</f>
        <v>0</v>
      </c>
      <c r="O50" s="136">
        <f>IF(OR(L50=0,H50&gt;NoEchMaxi),0,ROUND(FraisF+FraisV*L50,NbDeci))+F50</f>
        <v>0</v>
      </c>
      <c r="P50" s="148">
        <f t="shared" si="3"/>
        <v>0</v>
      </c>
      <c r="Q50" s="1"/>
      <c r="R50" s="138">
        <f>IF(B50&gt;0,IF(TauxActuariel,((B50+1)^(1/NbEchAn))-1,B50/NbEchAn),R49)</f>
        <v>0.04</v>
      </c>
      <c r="S50" s="139">
        <f>IF(E50&gt;0,E50,IF(D50&gt;0,IF(AND(EchFIXE,R50&gt;0),ROUND((L50-C50)*R50/(1-((1+R50)^-D50)),NbDeci),ROUND(L50/D50,NbDeci)),S49))</f>
        <v>6664</v>
      </c>
      <c r="T50" s="1"/>
      <c r="U50" s="1"/>
      <c r="V50" s="1"/>
      <c r="W50" s="1"/>
      <c r="X50" s="1"/>
      <c r="Y50" s="1"/>
      <c r="Z50" s="1"/>
      <c r="AA50" s="1"/>
    </row>
    <row r="51" ht="12.75" customHeight="1">
      <c r="A51" s="1"/>
      <c r="B51" s="140"/>
      <c r="C51" s="141"/>
      <c r="D51" s="142"/>
      <c r="E51" s="143"/>
      <c r="F51" s="144"/>
      <c r="G51" s="1"/>
      <c r="H51" s="131" t="str">
        <f t="shared" si="4"/>
        <v/>
      </c>
      <c r="I51" s="132" t="str">
        <f>IF(L51&gt;0,NbEch+Différé+1-H51,"")</f>
        <v/>
      </c>
      <c r="J51" s="145" t="str">
        <f t="shared" si="2"/>
        <v/>
      </c>
      <c r="K51" s="146" t="str">
        <f>IF(L51=0,"",IF(Ijour=0,MIN(DATE(YEAR(DebAmort),MONTH(DebAmort)+(H51-1)*Imois,Jour1),DATE(YEAR(DebAmort),MONTH(DebAmort)+1+(H51-1)*Imois,0)),DATE(YEAR(DebAmort),MONTH(DebAmort),Jour1+(H51-1)*Ijour)))</f>
        <v/>
      </c>
      <c r="L51" s="147">
        <f t="shared" si="5"/>
        <v>0</v>
      </c>
      <c r="M51" s="135">
        <f>IF(H51&lt;=NoEchMaxi,ROUND(L51*R51,NbDeci),0)</f>
        <v>0</v>
      </c>
      <c r="N51" s="134">
        <f>IF(OR(H51&lt;=Différé,H51&gt;NoEchMaxi),IF(DiffTotal,-M51,0),IF(H51&gt;=NoEchRemb,L51,IF(S51-(M51*EchFIXE)&gt;L51-2,L51,S51-(M51*EchFIXE))))+C51</f>
        <v>0</v>
      </c>
      <c r="O51" s="136">
        <f>IF(OR(L51=0,H51&gt;NoEchMaxi),0,ROUND(FraisF+FraisV*L51,NbDeci))+F51</f>
        <v>0</v>
      </c>
      <c r="P51" s="148">
        <f t="shared" si="3"/>
        <v>0</v>
      </c>
      <c r="Q51" s="1"/>
      <c r="R51" s="138">
        <f>IF(B51&gt;0,IF(TauxActuariel,((B51+1)^(1/NbEchAn))-1,B51/NbEchAn),R50)</f>
        <v>0.04</v>
      </c>
      <c r="S51" s="139">
        <f>IF(E51&gt;0,E51,IF(D51&gt;0,IF(AND(EchFIXE,R51&gt;0),ROUND((L51-C51)*R51/(1-((1+R51)^-D51)),NbDeci),ROUND(L51/D51,NbDeci)),S50))</f>
        <v>6664</v>
      </c>
      <c r="T51" s="1"/>
      <c r="U51" s="1"/>
      <c r="V51" s="1"/>
      <c r="W51" s="1"/>
      <c r="X51" s="1"/>
      <c r="Y51" s="1"/>
      <c r="Z51" s="1"/>
      <c r="AA51" s="1"/>
    </row>
    <row r="52" ht="12.75" customHeight="1">
      <c r="A52" s="1"/>
      <c r="B52" s="140"/>
      <c r="C52" s="141"/>
      <c r="D52" s="142"/>
      <c r="E52" s="143"/>
      <c r="F52" s="144"/>
      <c r="G52" s="1"/>
      <c r="H52" s="131" t="str">
        <f t="shared" si="4"/>
        <v/>
      </c>
      <c r="I52" s="132" t="str">
        <f>IF(L52&gt;0,NbEch+Différé+1-H52,"")</f>
        <v/>
      </c>
      <c r="J52" s="145" t="str">
        <f t="shared" si="2"/>
        <v/>
      </c>
      <c r="K52" s="146" t="str">
        <f>IF(L52=0,"",IF(Ijour=0,MIN(DATE(YEAR(DebAmort),MONTH(DebAmort)+MoisD+(H52-1)*Imois,Jour2),DATE(YEAR(DebAmort),MONTH(DebAmort)+MoisD+1+(H52-1)*Imois,0)),DATE(YEAR(DebAmort),MONTH(DebAmort),Jour1+(H52-1)*Ijour)))</f>
        <v/>
      </c>
      <c r="L52" s="147">
        <f t="shared" si="5"/>
        <v>0</v>
      </c>
      <c r="M52" s="135">
        <f>IF(H52&lt;=NoEchMaxi,ROUND(L52*R52,NbDeci),0)</f>
        <v>0</v>
      </c>
      <c r="N52" s="134">
        <f>IF(OR(H52&lt;=Différé,H52&gt;NoEchMaxi),IF(DiffTotal,-M52,0),IF(H52&gt;=NoEchRemb,L52,IF(S52-(M52*EchFIXE)&gt;L52-2,L52,S52-(M52*EchFIXE))))+C52</f>
        <v>0</v>
      </c>
      <c r="O52" s="136">
        <f>IF(OR(L52=0,H52&gt;NoEchMaxi),0,ROUND(FraisF+FraisV*L52,NbDeci))+F52</f>
        <v>0</v>
      </c>
      <c r="P52" s="148">
        <f t="shared" si="3"/>
        <v>0</v>
      </c>
      <c r="Q52" s="1"/>
      <c r="R52" s="138">
        <f>IF(B52&gt;0,IF(TauxActuariel,((B52+1)^(1/NbEchAn))-1,B52/NbEchAn),R51)</f>
        <v>0.04</v>
      </c>
      <c r="S52" s="139">
        <f>IF(E52&gt;0,E52,IF(D52&gt;0,IF(AND(EchFIXE,R52&gt;0),ROUND((L52-C52)*R52/(1-((1+R52)^-D52)),NbDeci),ROUND(L52/D52,NbDeci)),S51))</f>
        <v>6664</v>
      </c>
      <c r="T52" s="1"/>
      <c r="U52" s="1"/>
      <c r="V52" s="1"/>
      <c r="W52" s="1"/>
      <c r="X52" s="1"/>
      <c r="Y52" s="1"/>
      <c r="Z52" s="1"/>
      <c r="AA52" s="1"/>
    </row>
    <row r="53" ht="12.75" customHeight="1">
      <c r="A53" s="1"/>
      <c r="B53" s="140"/>
      <c r="C53" s="141"/>
      <c r="D53" s="142"/>
      <c r="E53" s="143"/>
      <c r="F53" s="144"/>
      <c r="G53" s="1"/>
      <c r="H53" s="131" t="str">
        <f t="shared" si="4"/>
        <v/>
      </c>
      <c r="I53" s="132" t="str">
        <f>IF(L53&gt;0,NbEch+Différé+1-H53,"")</f>
        <v/>
      </c>
      <c r="J53" s="145" t="str">
        <f t="shared" si="2"/>
        <v/>
      </c>
      <c r="K53" s="146" t="str">
        <f>IF(L53=0,"",IF(Ijour=0,MIN(DATE(YEAR(DebAmort),MONTH(DebAmort)+(H53-1)*Imois,Jour1),DATE(YEAR(DebAmort),MONTH(DebAmort)+1+(H53-1)*Imois,0)),DATE(YEAR(DebAmort),MONTH(DebAmort),Jour1+(H53-1)*Ijour)))</f>
        <v/>
      </c>
      <c r="L53" s="147">
        <f t="shared" si="5"/>
        <v>0</v>
      </c>
      <c r="M53" s="135">
        <f>IF(H53&lt;=NoEchMaxi,ROUND(L53*R53,NbDeci),0)</f>
        <v>0</v>
      </c>
      <c r="N53" s="134">
        <f>IF(OR(H53&lt;=Différé,H53&gt;NoEchMaxi),IF(DiffTotal,-M53,0),IF(H53&gt;=NoEchRemb,L53,IF(S53-(M53*EchFIXE)&gt;L53-2,L53,S53-(M53*EchFIXE))))+C53</f>
        <v>0</v>
      </c>
      <c r="O53" s="136">
        <f>IF(OR(L53=0,H53&gt;NoEchMaxi),0,ROUND(FraisF+FraisV*L53,NbDeci))+F53</f>
        <v>0</v>
      </c>
      <c r="P53" s="148">
        <f t="shared" si="3"/>
        <v>0</v>
      </c>
      <c r="Q53" s="1"/>
      <c r="R53" s="138">
        <f>IF(B53&gt;0,IF(TauxActuariel,((B53+1)^(1/NbEchAn))-1,B53/NbEchAn),R52)</f>
        <v>0.04</v>
      </c>
      <c r="S53" s="139">
        <f>IF(E53&gt;0,E53,IF(D53&gt;0,IF(AND(EchFIXE,R53&gt;0),ROUND((L53-C53)*R53/(1-((1+R53)^-D53)),NbDeci),ROUND(L53/D53,NbDeci)),S52))</f>
        <v>6664</v>
      </c>
      <c r="T53" s="1"/>
      <c r="U53" s="1"/>
      <c r="V53" s="1"/>
      <c r="W53" s="1"/>
      <c r="X53" s="1"/>
      <c r="Y53" s="1"/>
      <c r="Z53" s="1"/>
      <c r="AA53" s="1"/>
    </row>
    <row r="54" ht="12.75" customHeight="1">
      <c r="A54" s="1"/>
      <c r="B54" s="140"/>
      <c r="C54" s="141"/>
      <c r="D54" s="142"/>
      <c r="E54" s="143"/>
      <c r="F54" s="144"/>
      <c r="G54" s="1"/>
      <c r="H54" s="131" t="str">
        <f t="shared" si="4"/>
        <v/>
      </c>
      <c r="I54" s="132" t="str">
        <f>IF(L54&gt;0,NbEch+Différé+1-H54,"")</f>
        <v/>
      </c>
      <c r="J54" s="145" t="str">
        <f t="shared" si="2"/>
        <v/>
      </c>
      <c r="K54" s="146" t="str">
        <f>IF(L54=0,"",IF(Ijour=0,MIN(DATE(YEAR(DebAmort),MONTH(DebAmort)+MoisD+(H54-1)*Imois,Jour2),DATE(YEAR(DebAmort),MONTH(DebAmort)+MoisD+1+(H54-1)*Imois,0)),DATE(YEAR(DebAmort),MONTH(DebAmort),Jour1+(H54-1)*Ijour)))</f>
        <v/>
      </c>
      <c r="L54" s="147">
        <f t="shared" si="5"/>
        <v>0</v>
      </c>
      <c r="M54" s="135">
        <f>IF(H54&lt;=NoEchMaxi,ROUND(L54*R54,NbDeci),0)</f>
        <v>0</v>
      </c>
      <c r="N54" s="134">
        <f>IF(OR(H54&lt;=Différé,H54&gt;NoEchMaxi),IF(DiffTotal,-M54,0),IF(H54&gt;=NoEchRemb,L54,IF(S54-(M54*EchFIXE)&gt;L54-2,L54,S54-(M54*EchFIXE))))+C54</f>
        <v>0</v>
      </c>
      <c r="O54" s="136">
        <f>IF(OR(L54=0,H54&gt;NoEchMaxi),0,ROUND(FraisF+FraisV*L54,NbDeci))+F54</f>
        <v>0</v>
      </c>
      <c r="P54" s="148">
        <f t="shared" si="3"/>
        <v>0</v>
      </c>
      <c r="Q54" s="1"/>
      <c r="R54" s="138">
        <f>IF(B54&gt;0,IF(TauxActuariel,((B54+1)^(1/NbEchAn))-1,B54/NbEchAn),R53)</f>
        <v>0.04</v>
      </c>
      <c r="S54" s="139">
        <f>IF(E54&gt;0,E54,IF(D54&gt;0,IF(AND(EchFIXE,R54&gt;0),ROUND((L54-C54)*R54/(1-((1+R54)^-D54)),NbDeci),ROUND(L54/D54,NbDeci)),S53))</f>
        <v>6664</v>
      </c>
      <c r="T54" s="1"/>
      <c r="U54" s="1"/>
      <c r="V54" s="1"/>
      <c r="W54" s="1"/>
      <c r="X54" s="1"/>
      <c r="Y54" s="1"/>
      <c r="Z54" s="1"/>
      <c r="AA54" s="1"/>
    </row>
    <row r="55" ht="12.75" customHeight="1">
      <c r="A55" s="1"/>
      <c r="B55" s="140"/>
      <c r="C55" s="141"/>
      <c r="D55" s="142"/>
      <c r="E55" s="143"/>
      <c r="F55" s="144"/>
      <c r="G55" s="1"/>
      <c r="H55" s="131" t="str">
        <f t="shared" si="4"/>
        <v/>
      </c>
      <c r="I55" s="132" t="str">
        <f>IF(L55&gt;0,NbEch+Différé+1-H55,"")</f>
        <v/>
      </c>
      <c r="J55" s="145" t="str">
        <f t="shared" si="2"/>
        <v/>
      </c>
      <c r="K55" s="146" t="str">
        <f>IF(L55=0,"",IF(Ijour=0,MIN(DATE(YEAR(DebAmort),MONTH(DebAmort)+(H55-1)*Imois,Jour1),DATE(YEAR(DebAmort),MONTH(DebAmort)+1+(H55-1)*Imois,0)),DATE(YEAR(DebAmort),MONTH(DebAmort),Jour1+(H55-1)*Ijour)))</f>
        <v/>
      </c>
      <c r="L55" s="147">
        <f t="shared" si="5"/>
        <v>0</v>
      </c>
      <c r="M55" s="135">
        <f>IF(H55&lt;=NoEchMaxi,ROUND(L55*R55,NbDeci),0)</f>
        <v>0</v>
      </c>
      <c r="N55" s="134">
        <f>IF(OR(H55&lt;=Différé,H55&gt;NoEchMaxi),IF(DiffTotal,-M55,0),IF(H55&gt;=NoEchRemb,L55,IF(S55-(M55*EchFIXE)&gt;L55-2,L55,S55-(M55*EchFIXE))))+C55</f>
        <v>0</v>
      </c>
      <c r="O55" s="136">
        <f>IF(OR(L55=0,H55&gt;NoEchMaxi),0,ROUND(FraisF+FraisV*L55,NbDeci))+F55</f>
        <v>0</v>
      </c>
      <c r="P55" s="148">
        <f t="shared" si="3"/>
        <v>0</v>
      </c>
      <c r="Q55" s="1"/>
      <c r="R55" s="138">
        <f>IF(B55&gt;0,IF(TauxActuariel,((B55+1)^(1/NbEchAn))-1,B55/NbEchAn),R54)</f>
        <v>0.04</v>
      </c>
      <c r="S55" s="139">
        <f>IF(E55&gt;0,E55,IF(D55&gt;0,IF(AND(EchFIXE,R55&gt;0),ROUND((L55-C55)*R55/(1-((1+R55)^-D55)),NbDeci),ROUND(L55/D55,NbDeci)),S54))</f>
        <v>6664</v>
      </c>
      <c r="T55" s="1"/>
      <c r="U55" s="1"/>
      <c r="V55" s="1"/>
      <c r="W55" s="1"/>
      <c r="X55" s="1"/>
      <c r="Y55" s="1"/>
      <c r="Z55" s="1"/>
      <c r="AA55" s="1"/>
    </row>
    <row r="56" ht="12.75" customHeight="1">
      <c r="A56" s="1"/>
      <c r="B56" s="140"/>
      <c r="C56" s="141"/>
      <c r="D56" s="142"/>
      <c r="E56" s="143"/>
      <c r="F56" s="144"/>
      <c r="G56" s="1"/>
      <c r="H56" s="131" t="str">
        <f t="shared" si="4"/>
        <v/>
      </c>
      <c r="I56" s="132" t="str">
        <f>IF(L56&gt;0,NbEch+Différé+1-H56,"")</f>
        <v/>
      </c>
      <c r="J56" s="145" t="str">
        <f t="shared" si="2"/>
        <v/>
      </c>
      <c r="K56" s="146" t="str">
        <f>IF(L56=0,"",IF(Ijour=0,MIN(DATE(YEAR(DebAmort),MONTH(DebAmort)+MoisD+(H56-1)*Imois,Jour2),DATE(YEAR(DebAmort),MONTH(DebAmort)+MoisD+1+(H56-1)*Imois,0)),DATE(YEAR(DebAmort),MONTH(DebAmort),Jour1+(H56-1)*Ijour)))</f>
        <v/>
      </c>
      <c r="L56" s="147">
        <f t="shared" si="5"/>
        <v>0</v>
      </c>
      <c r="M56" s="135">
        <f>IF(H56&lt;=NoEchMaxi,ROUND(L56*R56,NbDeci),0)</f>
        <v>0</v>
      </c>
      <c r="N56" s="134">
        <f>IF(OR(H56&lt;=Différé,H56&gt;NoEchMaxi),IF(DiffTotal,-M56,0),IF(H56&gt;=NoEchRemb,L56,IF(S56-(M56*EchFIXE)&gt;L56-2,L56,S56-(M56*EchFIXE))))+C56</f>
        <v>0</v>
      </c>
      <c r="O56" s="136">
        <f>IF(OR(L56=0,H56&gt;NoEchMaxi),0,ROUND(FraisF+FraisV*L56,NbDeci))+F56</f>
        <v>0</v>
      </c>
      <c r="P56" s="148">
        <f t="shared" si="3"/>
        <v>0</v>
      </c>
      <c r="Q56" s="1"/>
      <c r="R56" s="138">
        <f>IF(B56&gt;0,IF(TauxActuariel,((B56+1)^(1/NbEchAn))-1,B56/NbEchAn),R55)</f>
        <v>0.04</v>
      </c>
      <c r="S56" s="139">
        <f>IF(E56&gt;0,E56,IF(D56&gt;0,IF(AND(EchFIXE,R56&gt;0),ROUND((L56-C56)*R56/(1-((1+R56)^-D56)),NbDeci),ROUND(L56/D56,NbDeci)),S55))</f>
        <v>6664</v>
      </c>
      <c r="T56" s="1"/>
      <c r="U56" s="1"/>
      <c r="V56" s="1"/>
      <c r="W56" s="1"/>
      <c r="X56" s="1"/>
      <c r="Y56" s="1"/>
      <c r="Z56" s="1"/>
      <c r="AA56" s="1"/>
    </row>
    <row r="57" ht="12.75" customHeight="1">
      <c r="A57" s="1"/>
      <c r="B57" s="140"/>
      <c r="C57" s="141"/>
      <c r="D57" s="142"/>
      <c r="E57" s="143"/>
      <c r="F57" s="144"/>
      <c r="G57" s="1"/>
      <c r="H57" s="131" t="str">
        <f t="shared" si="4"/>
        <v/>
      </c>
      <c r="I57" s="132" t="str">
        <f>IF(L57&gt;0,NbEch+Différé+1-H57,"")</f>
        <v/>
      </c>
      <c r="J57" s="145" t="str">
        <f t="shared" si="2"/>
        <v/>
      </c>
      <c r="K57" s="146" t="str">
        <f>IF(L57=0,"",IF(Ijour=0,MIN(DATE(YEAR(DebAmort),MONTH(DebAmort)+(H57-1)*Imois,Jour1),DATE(YEAR(DebAmort),MONTH(DebAmort)+1+(H57-1)*Imois,0)),DATE(YEAR(DebAmort),MONTH(DebAmort),Jour1+(H57-1)*Ijour)))</f>
        <v/>
      </c>
      <c r="L57" s="147">
        <f t="shared" si="5"/>
        <v>0</v>
      </c>
      <c r="M57" s="135">
        <f>IF(H57&lt;=NoEchMaxi,ROUND(L57*R57,NbDeci),0)</f>
        <v>0</v>
      </c>
      <c r="N57" s="134">
        <f>IF(OR(H57&lt;=Différé,H57&gt;NoEchMaxi),IF(DiffTotal,-M57,0),IF(H57&gt;=NoEchRemb,L57,IF(S57-(M57*EchFIXE)&gt;L57-2,L57,S57-(M57*EchFIXE))))+C57</f>
        <v>0</v>
      </c>
      <c r="O57" s="136">
        <f>IF(OR(L57=0,H57&gt;NoEchMaxi),0,ROUND(FraisF+FraisV*L57,NbDeci))+F57</f>
        <v>0</v>
      </c>
      <c r="P57" s="148">
        <f t="shared" si="3"/>
        <v>0</v>
      </c>
      <c r="Q57" s="1"/>
      <c r="R57" s="138">
        <f>IF(B57&gt;0,IF(TauxActuariel,((B57+1)^(1/NbEchAn))-1,B57/NbEchAn),R56)</f>
        <v>0.04</v>
      </c>
      <c r="S57" s="139">
        <f>IF(E57&gt;0,E57,IF(D57&gt;0,IF(AND(EchFIXE,R57&gt;0),ROUND((L57-C57)*R57/(1-((1+R57)^-D57)),NbDeci),ROUND(L57/D57,NbDeci)),S56))</f>
        <v>6664</v>
      </c>
      <c r="T57" s="1"/>
      <c r="U57" s="1"/>
      <c r="V57" s="1"/>
      <c r="W57" s="1"/>
      <c r="X57" s="1"/>
      <c r="Y57" s="1"/>
      <c r="Z57" s="1"/>
      <c r="AA57" s="1"/>
    </row>
    <row r="58" ht="12.75" customHeight="1">
      <c r="A58" s="1"/>
      <c r="B58" s="140"/>
      <c r="C58" s="141"/>
      <c r="D58" s="142"/>
      <c r="E58" s="143"/>
      <c r="F58" s="144"/>
      <c r="G58" s="1"/>
      <c r="H58" s="131" t="str">
        <f t="shared" si="4"/>
        <v/>
      </c>
      <c r="I58" s="132" t="str">
        <f>IF(L58&gt;0,NbEch+Différé+1-H58,"")</f>
        <v/>
      </c>
      <c r="J58" s="145" t="str">
        <f t="shared" si="2"/>
        <v/>
      </c>
      <c r="K58" s="146" t="str">
        <f>IF(L58=0,"",IF(Ijour=0,MIN(DATE(YEAR(DebAmort),MONTH(DebAmort)+MoisD+(H58-1)*Imois,Jour2),DATE(YEAR(DebAmort),MONTH(DebAmort)+MoisD+1+(H58-1)*Imois,0)),DATE(YEAR(DebAmort),MONTH(DebAmort),Jour1+(H58-1)*Ijour)))</f>
        <v/>
      </c>
      <c r="L58" s="147">
        <f t="shared" si="5"/>
        <v>0</v>
      </c>
      <c r="M58" s="135">
        <f>IF(H58&lt;=NoEchMaxi,ROUND(L58*R58,NbDeci),0)</f>
        <v>0</v>
      </c>
      <c r="N58" s="134">
        <f>IF(OR(H58&lt;=Différé,H58&gt;NoEchMaxi),IF(DiffTotal,-M58,0),IF(H58&gt;=NoEchRemb,L58,IF(S58-(M58*EchFIXE)&gt;L58-2,L58,S58-(M58*EchFIXE))))+C58</f>
        <v>0</v>
      </c>
      <c r="O58" s="136">
        <f>IF(OR(L58=0,H58&gt;NoEchMaxi),0,ROUND(FraisF+FraisV*L58,NbDeci))+F58</f>
        <v>0</v>
      </c>
      <c r="P58" s="148">
        <f t="shared" si="3"/>
        <v>0</v>
      </c>
      <c r="Q58" s="1"/>
      <c r="R58" s="138">
        <f>IF(B58&gt;0,IF(TauxActuariel,((B58+1)^(1/NbEchAn))-1,B58/NbEchAn),R57)</f>
        <v>0.04</v>
      </c>
      <c r="S58" s="139">
        <f>IF(E58&gt;0,E58,IF(D58&gt;0,IF(AND(EchFIXE,R58&gt;0),ROUND((L58-C58)*R58/(1-((1+R58)^-D58)),NbDeci),ROUND(L58/D58,NbDeci)),S57))</f>
        <v>6664</v>
      </c>
      <c r="T58" s="1"/>
      <c r="U58" s="1"/>
      <c r="V58" s="1"/>
      <c r="W58" s="1"/>
      <c r="X58" s="1"/>
      <c r="Y58" s="1"/>
      <c r="Z58" s="1"/>
      <c r="AA58" s="1"/>
    </row>
    <row r="59" ht="12.75" customHeight="1">
      <c r="A59" s="1"/>
      <c r="B59" s="140"/>
      <c r="C59" s="141"/>
      <c r="D59" s="142"/>
      <c r="E59" s="143"/>
      <c r="F59" s="144"/>
      <c r="G59" s="1"/>
      <c r="H59" s="131" t="str">
        <f t="shared" si="4"/>
        <v/>
      </c>
      <c r="I59" s="132" t="str">
        <f>IF(L59&gt;0,NbEch+Différé+1-H59,"")</f>
        <v/>
      </c>
      <c r="J59" s="145" t="str">
        <f t="shared" si="2"/>
        <v/>
      </c>
      <c r="K59" s="146" t="str">
        <f>IF(L59=0,"",IF(Ijour=0,MIN(DATE(YEAR(DebAmort),MONTH(DebAmort)+(H59-1)*Imois,Jour1),DATE(YEAR(DebAmort),MONTH(DebAmort)+1+(H59-1)*Imois,0)),DATE(YEAR(DebAmort),MONTH(DebAmort),Jour1+(H59-1)*Ijour)))</f>
        <v/>
      </c>
      <c r="L59" s="147">
        <f t="shared" si="5"/>
        <v>0</v>
      </c>
      <c r="M59" s="135">
        <f>IF(H59&lt;=NoEchMaxi,ROUND(L59*R59,NbDeci),0)</f>
        <v>0</v>
      </c>
      <c r="N59" s="134">
        <f>IF(OR(H59&lt;=Différé,H59&gt;NoEchMaxi),IF(DiffTotal,-M59,0),IF(H59&gt;=NoEchRemb,L59,IF(S59-(M59*EchFIXE)&gt;L59-2,L59,S59-(M59*EchFIXE))))+C59</f>
        <v>0</v>
      </c>
      <c r="O59" s="136">
        <f>IF(OR(L59=0,H59&gt;NoEchMaxi),0,ROUND(FraisF+FraisV*L59,NbDeci))+F59</f>
        <v>0</v>
      </c>
      <c r="P59" s="148">
        <f t="shared" si="3"/>
        <v>0</v>
      </c>
      <c r="Q59" s="1"/>
      <c r="R59" s="138">
        <f>IF(B59&gt;0,IF(TauxActuariel,((B59+1)^(1/NbEchAn))-1,B59/NbEchAn),R58)</f>
        <v>0.04</v>
      </c>
      <c r="S59" s="139">
        <f>IF(E59&gt;0,E59,IF(D59&gt;0,IF(AND(EchFIXE,R59&gt;0),ROUND((L59-C59)*R59/(1-((1+R59)^-D59)),NbDeci),ROUND(L59/D59,NbDeci)),S58))</f>
        <v>6664</v>
      </c>
      <c r="T59" s="1"/>
      <c r="U59" s="1"/>
      <c r="V59" s="1"/>
      <c r="W59" s="1"/>
      <c r="X59" s="1"/>
      <c r="Y59" s="1"/>
      <c r="Z59" s="1"/>
      <c r="AA59" s="1"/>
    </row>
    <row r="60" ht="12.75" customHeight="1">
      <c r="A60" s="1"/>
      <c r="B60" s="140"/>
      <c r="C60" s="141"/>
      <c r="D60" s="142"/>
      <c r="E60" s="143"/>
      <c r="F60" s="144"/>
      <c r="G60" s="1"/>
      <c r="H60" s="131" t="str">
        <f t="shared" si="4"/>
        <v/>
      </c>
      <c r="I60" s="132" t="str">
        <f>IF(L60&gt;0,NbEch+Différé+1-H60,"")</f>
        <v/>
      </c>
      <c r="J60" s="145" t="str">
        <f t="shared" si="2"/>
        <v/>
      </c>
      <c r="K60" s="146" t="str">
        <f>IF(L60=0,"",IF(Ijour=0,MIN(DATE(YEAR(DebAmort),MONTH(DebAmort)+MoisD+(H60-1)*Imois,Jour2),DATE(YEAR(DebAmort),MONTH(DebAmort)+MoisD+1+(H60-1)*Imois,0)),DATE(YEAR(DebAmort),MONTH(DebAmort),Jour1+(H60-1)*Ijour)))</f>
        <v/>
      </c>
      <c r="L60" s="147">
        <f t="shared" si="5"/>
        <v>0</v>
      </c>
      <c r="M60" s="135">
        <f>IF(H60&lt;=NoEchMaxi,ROUND(L60*R60,NbDeci),0)</f>
        <v>0</v>
      </c>
      <c r="N60" s="134">
        <f>IF(OR(H60&lt;=Différé,H60&gt;NoEchMaxi),IF(DiffTotal,-M60,0),IF(H60&gt;=NoEchRemb,L60,IF(S60-(M60*EchFIXE)&gt;L60-2,L60,S60-(M60*EchFIXE))))+C60</f>
        <v>0</v>
      </c>
      <c r="O60" s="136">
        <f>IF(OR(L60=0,H60&gt;NoEchMaxi),0,ROUND(FraisF+FraisV*L60,NbDeci))+F60</f>
        <v>0</v>
      </c>
      <c r="P60" s="148">
        <f t="shared" si="3"/>
        <v>0</v>
      </c>
      <c r="Q60" s="1"/>
      <c r="R60" s="138">
        <f>IF(B60&gt;0,IF(TauxActuariel,((B60+1)^(1/NbEchAn))-1,B60/NbEchAn),R59)</f>
        <v>0.04</v>
      </c>
      <c r="S60" s="139">
        <f>IF(E60&gt;0,E60,IF(D60&gt;0,IF(AND(EchFIXE,R60&gt;0),ROUND((L60-C60)*R60/(1-((1+R60)^-D60)),NbDeci),ROUND(L60/D60,NbDeci)),S59))</f>
        <v>6664</v>
      </c>
      <c r="T60" s="1"/>
      <c r="U60" s="1"/>
      <c r="V60" s="1"/>
      <c r="W60" s="1"/>
      <c r="X60" s="1"/>
      <c r="Y60" s="1"/>
      <c r="Z60" s="1"/>
      <c r="AA60" s="1"/>
    </row>
    <row r="61" ht="12.75" customHeight="1">
      <c r="A61" s="1"/>
      <c r="B61" s="140"/>
      <c r="C61" s="141"/>
      <c r="D61" s="142"/>
      <c r="E61" s="143"/>
      <c r="F61" s="144"/>
      <c r="G61" s="1"/>
      <c r="H61" s="131" t="str">
        <f t="shared" si="4"/>
        <v/>
      </c>
      <c r="I61" s="132" t="str">
        <f>IF(L61&gt;0,NbEch+Différé+1-H61,"")</f>
        <v/>
      </c>
      <c r="J61" s="145" t="str">
        <f t="shared" si="2"/>
        <v/>
      </c>
      <c r="K61" s="146" t="str">
        <f>IF(L61=0,"",IF(Ijour=0,MIN(DATE(YEAR(DebAmort),MONTH(DebAmort)+(H61-1)*Imois,Jour1),DATE(YEAR(DebAmort),MONTH(DebAmort)+1+(H61-1)*Imois,0)),DATE(YEAR(DebAmort),MONTH(DebAmort),Jour1+(H61-1)*Ijour)))</f>
        <v/>
      </c>
      <c r="L61" s="147">
        <f t="shared" si="5"/>
        <v>0</v>
      </c>
      <c r="M61" s="135">
        <f>IF(H61&lt;=NoEchMaxi,ROUND(L61*R61,NbDeci),0)</f>
        <v>0</v>
      </c>
      <c r="N61" s="134">
        <f>IF(OR(H61&lt;=Différé,H61&gt;NoEchMaxi),IF(DiffTotal,-M61,0),IF(H61&gt;=NoEchRemb,L61,IF(S61-(M61*EchFIXE)&gt;L61-2,L61,S61-(M61*EchFIXE))))+C61</f>
        <v>0</v>
      </c>
      <c r="O61" s="136">
        <f>IF(OR(L61=0,H61&gt;NoEchMaxi),0,ROUND(FraisF+FraisV*L61,NbDeci))+F61</f>
        <v>0</v>
      </c>
      <c r="P61" s="148">
        <f t="shared" si="3"/>
        <v>0</v>
      </c>
      <c r="Q61" s="1"/>
      <c r="R61" s="138">
        <f>IF(B61&gt;0,IF(TauxActuariel,((B61+1)^(1/NbEchAn))-1,B61/NbEchAn),R60)</f>
        <v>0.04</v>
      </c>
      <c r="S61" s="139">
        <f>IF(E61&gt;0,E61,IF(D61&gt;0,IF(AND(EchFIXE,R61&gt;0),ROUND((L61-C61)*R61/(1-((1+R61)^-D61)),NbDeci),ROUND(L61/D61,NbDeci)),S60))</f>
        <v>6664</v>
      </c>
      <c r="T61" s="1"/>
      <c r="U61" s="1"/>
      <c r="V61" s="1"/>
      <c r="W61" s="1"/>
      <c r="X61" s="1"/>
      <c r="Y61" s="1"/>
      <c r="Z61" s="1"/>
      <c r="AA61" s="1"/>
    </row>
    <row r="62" ht="12.75" customHeight="1">
      <c r="A62" s="1"/>
      <c r="B62" s="140"/>
      <c r="C62" s="141"/>
      <c r="D62" s="142"/>
      <c r="E62" s="143"/>
      <c r="F62" s="144"/>
      <c r="G62" s="1"/>
      <c r="H62" s="131" t="str">
        <f t="shared" si="4"/>
        <v/>
      </c>
      <c r="I62" s="132" t="str">
        <f>IF(L62&gt;0,NbEch+Différé+1-H62,"")</f>
        <v/>
      </c>
      <c r="J62" s="145" t="str">
        <f t="shared" si="2"/>
        <v/>
      </c>
      <c r="K62" s="146" t="str">
        <f>IF(L62=0,"",IF(Ijour=0,MIN(DATE(YEAR(DebAmort),MONTH(DebAmort)+MoisD+(H62-1)*Imois,Jour2),DATE(YEAR(DebAmort),MONTH(DebAmort)+MoisD+1+(H62-1)*Imois,0)),DATE(YEAR(DebAmort),MONTH(DebAmort),Jour1+(H62-1)*Ijour)))</f>
        <v/>
      </c>
      <c r="L62" s="147">
        <f t="shared" si="5"/>
        <v>0</v>
      </c>
      <c r="M62" s="135">
        <f>IF(H62&lt;=NoEchMaxi,ROUND(L62*R62,NbDeci),0)</f>
        <v>0</v>
      </c>
      <c r="N62" s="134">
        <f>IF(OR(H62&lt;=Différé,H62&gt;NoEchMaxi),IF(DiffTotal,-M62,0),IF(H62&gt;=NoEchRemb,L62,IF(S62-(M62*EchFIXE)&gt;L62-2,L62,S62-(M62*EchFIXE))))+C62</f>
        <v>0</v>
      </c>
      <c r="O62" s="136">
        <f>IF(OR(L62=0,H62&gt;NoEchMaxi),0,ROUND(FraisF+FraisV*L62,NbDeci))+F62</f>
        <v>0</v>
      </c>
      <c r="P62" s="148">
        <f t="shared" si="3"/>
        <v>0</v>
      </c>
      <c r="Q62" s="1"/>
      <c r="R62" s="138">
        <f>IF(B62&gt;0,IF(TauxActuariel,((B62+1)^(1/NbEchAn))-1,B62/NbEchAn),R61)</f>
        <v>0.04</v>
      </c>
      <c r="S62" s="139">
        <f>IF(E62&gt;0,E62,IF(D62&gt;0,IF(AND(EchFIXE,R62&gt;0),ROUND((L62-C62)*R62/(1-((1+R62)^-D62)),NbDeci),ROUND(L62/D62,NbDeci)),S61))</f>
        <v>6664</v>
      </c>
      <c r="T62" s="1"/>
      <c r="U62" s="1"/>
      <c r="V62" s="1"/>
      <c r="W62" s="1"/>
      <c r="X62" s="1"/>
      <c r="Y62" s="1"/>
      <c r="Z62" s="1"/>
      <c r="AA62" s="1"/>
    </row>
    <row r="63" ht="12.75" customHeight="1">
      <c r="A63" s="1"/>
      <c r="B63" s="140"/>
      <c r="C63" s="141"/>
      <c r="D63" s="142"/>
      <c r="E63" s="143"/>
      <c r="F63" s="144"/>
      <c r="G63" s="1"/>
      <c r="H63" s="131" t="str">
        <f t="shared" si="4"/>
        <v/>
      </c>
      <c r="I63" s="132" t="str">
        <f>IF(L63&gt;0,NbEch+Différé+1-H63,"")</f>
        <v/>
      </c>
      <c r="J63" s="145" t="str">
        <f t="shared" si="2"/>
        <v/>
      </c>
      <c r="K63" s="146" t="str">
        <f>IF(L63=0,"",IF(Ijour=0,MIN(DATE(YEAR(DebAmort),MONTH(DebAmort)+(H63-1)*Imois,Jour1),DATE(YEAR(DebAmort),MONTH(DebAmort)+1+(H63-1)*Imois,0)),DATE(YEAR(DebAmort),MONTH(DebAmort),Jour1+(H63-1)*Ijour)))</f>
        <v/>
      </c>
      <c r="L63" s="147">
        <f t="shared" si="5"/>
        <v>0</v>
      </c>
      <c r="M63" s="135">
        <f>IF(H63&lt;=NoEchMaxi,ROUND(L63*R63,NbDeci),0)</f>
        <v>0</v>
      </c>
      <c r="N63" s="134">
        <f>IF(OR(H63&lt;=Différé,H63&gt;NoEchMaxi),IF(DiffTotal,-M63,0),IF(H63&gt;=NoEchRemb,L63,IF(S63-(M63*EchFIXE)&gt;L63-2,L63,S63-(M63*EchFIXE))))+C63</f>
        <v>0</v>
      </c>
      <c r="O63" s="136">
        <f>IF(OR(L63=0,H63&gt;NoEchMaxi),0,ROUND(FraisF+FraisV*L63,NbDeci))+F63</f>
        <v>0</v>
      </c>
      <c r="P63" s="148">
        <f t="shared" si="3"/>
        <v>0</v>
      </c>
      <c r="Q63" s="1"/>
      <c r="R63" s="138">
        <f>IF(B63&gt;0,IF(TauxActuariel,((B63+1)^(1/NbEchAn))-1,B63/NbEchAn),R62)</f>
        <v>0.04</v>
      </c>
      <c r="S63" s="139">
        <f>IF(E63&gt;0,E63,IF(D63&gt;0,IF(AND(EchFIXE,R63&gt;0),ROUND((L63-C63)*R63/(1-((1+R63)^-D63)),NbDeci),ROUND(L63/D63,NbDeci)),S62))</f>
        <v>6664</v>
      </c>
      <c r="T63" s="1"/>
      <c r="U63" s="1"/>
      <c r="V63" s="1"/>
      <c r="W63" s="1"/>
      <c r="X63" s="1"/>
      <c r="Y63" s="1"/>
      <c r="Z63" s="1"/>
      <c r="AA63" s="1"/>
    </row>
    <row r="64" ht="12.75" customHeight="1">
      <c r="A64" s="1"/>
      <c r="B64" s="140"/>
      <c r="C64" s="141"/>
      <c r="D64" s="142"/>
      <c r="E64" s="143"/>
      <c r="F64" s="144"/>
      <c r="G64" s="1"/>
      <c r="H64" s="131" t="str">
        <f t="shared" si="4"/>
        <v/>
      </c>
      <c r="I64" s="132" t="str">
        <f>IF(L64&gt;0,NbEch+Différé+1-H64,"")</f>
        <v/>
      </c>
      <c r="J64" s="145" t="str">
        <f t="shared" si="2"/>
        <v/>
      </c>
      <c r="K64" s="146" t="str">
        <f>IF(L64=0,"",IF(Ijour=0,MIN(DATE(YEAR(DebAmort),MONTH(DebAmort)+MoisD+(H64-1)*Imois,Jour2),DATE(YEAR(DebAmort),MONTH(DebAmort)+MoisD+1+(H64-1)*Imois,0)),DATE(YEAR(DebAmort),MONTH(DebAmort),Jour1+(H64-1)*Ijour)))</f>
        <v/>
      </c>
      <c r="L64" s="147">
        <f t="shared" si="5"/>
        <v>0</v>
      </c>
      <c r="M64" s="135">
        <f>IF(H64&lt;=NoEchMaxi,ROUND(L64*R64,NbDeci),0)</f>
        <v>0</v>
      </c>
      <c r="N64" s="134">
        <f>IF(OR(H64&lt;=Différé,H64&gt;NoEchMaxi),IF(DiffTotal,-M64,0),IF(H64&gt;=NoEchRemb,L64,IF(S64-(M64*EchFIXE)&gt;L64-2,L64,S64-(M64*EchFIXE))))+C64</f>
        <v>0</v>
      </c>
      <c r="O64" s="136">
        <f>IF(OR(L64=0,H64&gt;NoEchMaxi),0,ROUND(FraisF+FraisV*L64,NbDeci))+F64</f>
        <v>0</v>
      </c>
      <c r="P64" s="148">
        <f t="shared" si="3"/>
        <v>0</v>
      </c>
      <c r="Q64" s="1"/>
      <c r="R64" s="138">
        <f>IF(B64&gt;0,IF(TauxActuariel,((B64+1)^(1/NbEchAn))-1,B64/NbEchAn),R63)</f>
        <v>0.04</v>
      </c>
      <c r="S64" s="139">
        <f>IF(E64&gt;0,E64,IF(D64&gt;0,IF(AND(EchFIXE,R64&gt;0),ROUND((L64-C64)*R64/(1-((1+R64)^-D64)),NbDeci),ROUND(L64/D64,NbDeci)),S63))</f>
        <v>6664</v>
      </c>
      <c r="T64" s="1"/>
      <c r="U64" s="1"/>
      <c r="V64" s="1"/>
      <c r="W64" s="1"/>
      <c r="X64" s="1"/>
      <c r="Y64" s="1"/>
      <c r="Z64" s="1"/>
      <c r="AA64" s="1"/>
    </row>
    <row r="65" ht="12.75" customHeight="1">
      <c r="A65" s="1"/>
      <c r="B65" s="140"/>
      <c r="C65" s="141"/>
      <c r="D65" s="142"/>
      <c r="E65" s="143"/>
      <c r="F65" s="144"/>
      <c r="G65" s="1"/>
      <c r="H65" s="131" t="str">
        <f t="shared" si="4"/>
        <v/>
      </c>
      <c r="I65" s="132" t="str">
        <f>IF(L65&gt;0,NbEch+Différé+1-H65,"")</f>
        <v/>
      </c>
      <c r="J65" s="145" t="str">
        <f t="shared" si="2"/>
        <v/>
      </c>
      <c r="K65" s="146" t="str">
        <f>IF(L65=0,"",IF(Ijour=0,MIN(DATE(YEAR(DebAmort),MONTH(DebAmort)+(H65-1)*Imois,Jour1),DATE(YEAR(DebAmort),MONTH(DebAmort)+1+(H65-1)*Imois,0)),DATE(YEAR(DebAmort),MONTH(DebAmort),Jour1+(H65-1)*Ijour)))</f>
        <v/>
      </c>
      <c r="L65" s="147">
        <f t="shared" si="5"/>
        <v>0</v>
      </c>
      <c r="M65" s="135">
        <f>IF(H65&lt;=NoEchMaxi,ROUND(L65*R65,NbDeci),0)</f>
        <v>0</v>
      </c>
      <c r="N65" s="134">
        <f>IF(OR(H65&lt;=Différé,H65&gt;NoEchMaxi),IF(DiffTotal,-M65,0),IF(H65&gt;=NoEchRemb,L65,IF(S65-(M65*EchFIXE)&gt;L65-2,L65,S65-(M65*EchFIXE))))+C65</f>
        <v>0</v>
      </c>
      <c r="O65" s="136">
        <f>IF(OR(L65=0,H65&gt;NoEchMaxi),0,ROUND(FraisF+FraisV*L65,NbDeci))+F65</f>
        <v>0</v>
      </c>
      <c r="P65" s="148">
        <f t="shared" si="3"/>
        <v>0</v>
      </c>
      <c r="Q65" s="1"/>
      <c r="R65" s="138">
        <f>IF(B65&gt;0,IF(TauxActuariel,((B65+1)^(1/NbEchAn))-1,B65/NbEchAn),R64)</f>
        <v>0.04</v>
      </c>
      <c r="S65" s="139">
        <f>IF(E65&gt;0,E65,IF(D65&gt;0,IF(AND(EchFIXE,R65&gt;0),ROUND((L65-C65)*R65/(1-((1+R65)^-D65)),NbDeci),ROUND(L65/D65,NbDeci)),S64))</f>
        <v>6664</v>
      </c>
      <c r="T65" s="1"/>
      <c r="U65" s="1"/>
      <c r="V65" s="1"/>
      <c r="W65" s="1"/>
      <c r="X65" s="1"/>
      <c r="Y65" s="1"/>
      <c r="Z65" s="1"/>
      <c r="AA65" s="1"/>
    </row>
    <row r="66" ht="12.75" customHeight="1">
      <c r="A66" s="1"/>
      <c r="B66" s="140"/>
      <c r="C66" s="141"/>
      <c r="D66" s="142"/>
      <c r="E66" s="143"/>
      <c r="F66" s="144"/>
      <c r="G66" s="1"/>
      <c r="H66" s="131" t="str">
        <f t="shared" si="4"/>
        <v/>
      </c>
      <c r="I66" s="132" t="str">
        <f>IF(L66&gt;0,NbEch+Différé+1-H66,"")</f>
        <v/>
      </c>
      <c r="J66" s="145" t="str">
        <f t="shared" si="2"/>
        <v/>
      </c>
      <c r="K66" s="146" t="str">
        <f>IF(L66=0,"",IF(Ijour=0,MIN(DATE(YEAR(DebAmort),MONTH(DebAmort)+MoisD+(H66-1)*Imois,Jour2),DATE(YEAR(DebAmort),MONTH(DebAmort)+MoisD+1+(H66-1)*Imois,0)),DATE(YEAR(DebAmort),MONTH(DebAmort),Jour1+(H66-1)*Ijour)))</f>
        <v/>
      </c>
      <c r="L66" s="147">
        <f t="shared" si="5"/>
        <v>0</v>
      </c>
      <c r="M66" s="135">
        <f>IF(H66&lt;=NoEchMaxi,ROUND(L66*R66,NbDeci),0)</f>
        <v>0</v>
      </c>
      <c r="N66" s="134">
        <f>IF(OR(H66&lt;=Différé,H66&gt;NoEchMaxi),IF(DiffTotal,-M66,0),IF(H66&gt;=NoEchRemb,L66,IF(S66-(M66*EchFIXE)&gt;L66-2,L66,S66-(M66*EchFIXE))))+C66</f>
        <v>0</v>
      </c>
      <c r="O66" s="136">
        <f>IF(OR(L66=0,H66&gt;NoEchMaxi),0,ROUND(FraisF+FraisV*L66,NbDeci))+F66</f>
        <v>0</v>
      </c>
      <c r="P66" s="148">
        <f t="shared" si="3"/>
        <v>0</v>
      </c>
      <c r="Q66" s="1"/>
      <c r="R66" s="138">
        <f>IF(B66&gt;0,IF(TauxActuariel,((B66+1)^(1/NbEchAn))-1,B66/NbEchAn),R65)</f>
        <v>0.04</v>
      </c>
      <c r="S66" s="139">
        <f>IF(E66&gt;0,E66,IF(D66&gt;0,IF(AND(EchFIXE,R66&gt;0),ROUND((L66-C66)*R66/(1-((1+R66)^-D66)),NbDeci),ROUND(L66/D66,NbDeci)),S65))</f>
        <v>6664</v>
      </c>
      <c r="T66" s="1"/>
      <c r="U66" s="1"/>
      <c r="V66" s="1"/>
      <c r="W66" s="1"/>
      <c r="X66" s="1"/>
      <c r="Y66" s="1"/>
      <c r="Z66" s="1"/>
      <c r="AA66" s="1"/>
    </row>
    <row r="67" ht="12.75" customHeight="1">
      <c r="A67" s="1"/>
      <c r="B67" s="140"/>
      <c r="C67" s="141"/>
      <c r="D67" s="142"/>
      <c r="E67" s="143"/>
      <c r="F67" s="144"/>
      <c r="G67" s="1"/>
      <c r="H67" s="131" t="str">
        <f t="shared" si="4"/>
        <v/>
      </c>
      <c r="I67" s="132" t="str">
        <f>IF(L67&gt;0,NbEch+Différé+1-H67,"")</f>
        <v/>
      </c>
      <c r="J67" s="145" t="str">
        <f t="shared" si="2"/>
        <v/>
      </c>
      <c r="K67" s="146" t="str">
        <f>IF(L67=0,"",IF(Ijour=0,MIN(DATE(YEAR(DebAmort),MONTH(DebAmort)+(H67-1)*Imois,Jour1),DATE(YEAR(DebAmort),MONTH(DebAmort)+1+(H67-1)*Imois,0)),DATE(YEAR(DebAmort),MONTH(DebAmort),Jour1+(H67-1)*Ijour)))</f>
        <v/>
      </c>
      <c r="L67" s="147">
        <f t="shared" si="5"/>
        <v>0</v>
      </c>
      <c r="M67" s="135">
        <f>IF(H67&lt;=NoEchMaxi,ROUND(L67*R67,NbDeci),0)</f>
        <v>0</v>
      </c>
      <c r="N67" s="134">
        <f>IF(OR(H67&lt;=Différé,H67&gt;NoEchMaxi),IF(DiffTotal,-M67,0),IF(H67&gt;=NoEchRemb,L67,IF(S67-(M67*EchFIXE)&gt;L67-2,L67,S67-(M67*EchFIXE))))+C67</f>
        <v>0</v>
      </c>
      <c r="O67" s="136">
        <f>IF(OR(L67=0,H67&gt;NoEchMaxi),0,ROUND(FraisF+FraisV*L67,NbDeci))+F67</f>
        <v>0</v>
      </c>
      <c r="P67" s="148">
        <f t="shared" si="3"/>
        <v>0</v>
      </c>
      <c r="Q67" s="1"/>
      <c r="R67" s="138">
        <f>IF(B67&gt;0,IF(TauxActuariel,((B67+1)^(1/NbEchAn))-1,B67/NbEchAn),R66)</f>
        <v>0.04</v>
      </c>
      <c r="S67" s="139">
        <f>IF(E67&gt;0,E67,IF(D67&gt;0,IF(AND(EchFIXE,R67&gt;0),ROUND((L67-C67)*R67/(1-((1+R67)^-D67)),NbDeci),ROUND(L67/D67,NbDeci)),S66))</f>
        <v>6664</v>
      </c>
      <c r="T67" s="1"/>
      <c r="U67" s="1"/>
      <c r="V67" s="1"/>
      <c r="W67" s="1"/>
      <c r="X67" s="1"/>
      <c r="Y67" s="1"/>
      <c r="Z67" s="1"/>
      <c r="AA67" s="1"/>
    </row>
    <row r="68" ht="12.75" customHeight="1">
      <c r="A68" s="1"/>
      <c r="B68" s="140"/>
      <c r="C68" s="141"/>
      <c r="D68" s="142"/>
      <c r="E68" s="143"/>
      <c r="F68" s="144"/>
      <c r="G68" s="1"/>
      <c r="H68" s="131" t="str">
        <f t="shared" si="4"/>
        <v/>
      </c>
      <c r="I68" s="132" t="str">
        <f>IF(L68&gt;0,NbEch+Différé+1-H68,"")</f>
        <v/>
      </c>
      <c r="J68" s="145" t="str">
        <f t="shared" si="2"/>
        <v/>
      </c>
      <c r="K68" s="146" t="str">
        <f>IF(L68=0,"",IF(Ijour=0,MIN(DATE(YEAR(DebAmort),MONTH(DebAmort)+MoisD+(H68-1)*Imois,Jour2),DATE(YEAR(DebAmort),MONTH(DebAmort)+MoisD+1+(H68-1)*Imois,0)),DATE(YEAR(DebAmort),MONTH(DebAmort),Jour1+(H68-1)*Ijour)))</f>
        <v/>
      </c>
      <c r="L68" s="147">
        <f t="shared" si="5"/>
        <v>0</v>
      </c>
      <c r="M68" s="135">
        <f>IF(H68&lt;=NoEchMaxi,ROUND(L68*R68,NbDeci),0)</f>
        <v>0</v>
      </c>
      <c r="N68" s="134">
        <f>IF(OR(H68&lt;=Différé,H68&gt;NoEchMaxi),IF(DiffTotal,-M68,0),IF(H68&gt;=NoEchRemb,L68,IF(S68-(M68*EchFIXE)&gt;L68-2,L68,S68-(M68*EchFIXE))))+C68</f>
        <v>0</v>
      </c>
      <c r="O68" s="136">
        <f>IF(OR(L68=0,H68&gt;NoEchMaxi),0,ROUND(FraisF+FraisV*L68,NbDeci))+F68</f>
        <v>0</v>
      </c>
      <c r="P68" s="148">
        <f t="shared" si="3"/>
        <v>0</v>
      </c>
      <c r="Q68" s="1"/>
      <c r="R68" s="138">
        <f>IF(B68&gt;0,IF(TauxActuariel,((B68+1)^(1/NbEchAn))-1,B68/NbEchAn),R67)</f>
        <v>0.04</v>
      </c>
      <c r="S68" s="139">
        <f>IF(E68&gt;0,E68,IF(D68&gt;0,IF(AND(EchFIXE,R68&gt;0),ROUND((L68-C68)*R68/(1-((1+R68)^-D68)),NbDeci),ROUND(L68/D68,NbDeci)),S67))</f>
        <v>6664</v>
      </c>
      <c r="T68" s="1"/>
      <c r="U68" s="1"/>
      <c r="V68" s="1"/>
      <c r="W68" s="1"/>
      <c r="X68" s="1"/>
      <c r="Y68" s="1"/>
      <c r="Z68" s="1"/>
      <c r="AA68" s="1"/>
    </row>
    <row r="69" ht="12.75" customHeight="1">
      <c r="A69" s="1"/>
      <c r="B69" s="140"/>
      <c r="C69" s="141"/>
      <c r="D69" s="142"/>
      <c r="E69" s="143"/>
      <c r="F69" s="144"/>
      <c r="G69" s="1"/>
      <c r="H69" s="131" t="str">
        <f t="shared" si="4"/>
        <v/>
      </c>
      <c r="I69" s="132" t="str">
        <f>IF(L69&gt;0,NbEch+Différé+1-H69,"")</f>
        <v/>
      </c>
      <c r="J69" s="145" t="str">
        <f t="shared" si="2"/>
        <v/>
      </c>
      <c r="K69" s="146" t="str">
        <f>IF(L69=0,"",IF(Ijour=0,MIN(DATE(YEAR(DebAmort),MONTH(DebAmort)+(H69-1)*Imois,Jour1),DATE(YEAR(DebAmort),MONTH(DebAmort)+1+(H69-1)*Imois,0)),DATE(YEAR(DebAmort),MONTH(DebAmort),Jour1+(H69-1)*Ijour)))</f>
        <v/>
      </c>
      <c r="L69" s="147">
        <f t="shared" si="5"/>
        <v>0</v>
      </c>
      <c r="M69" s="135">
        <f>IF(H69&lt;=NoEchMaxi,ROUND(L69*R69,NbDeci),0)</f>
        <v>0</v>
      </c>
      <c r="N69" s="134">
        <f>IF(OR(H69&lt;=Différé,H69&gt;NoEchMaxi),IF(DiffTotal,-M69,0),IF(H69&gt;=NoEchRemb,L69,IF(S69-(M69*EchFIXE)&gt;L69-2,L69,S69-(M69*EchFIXE))))+C69</f>
        <v>0</v>
      </c>
      <c r="O69" s="136">
        <f>IF(OR(L69=0,H69&gt;NoEchMaxi),0,ROUND(FraisF+FraisV*L69,NbDeci))+F69</f>
        <v>0</v>
      </c>
      <c r="P69" s="148">
        <f t="shared" si="3"/>
        <v>0</v>
      </c>
      <c r="Q69" s="1"/>
      <c r="R69" s="138">
        <f>IF(B69&gt;0,IF(TauxActuariel,((B69+1)^(1/NbEchAn))-1,B69/NbEchAn),R68)</f>
        <v>0.04</v>
      </c>
      <c r="S69" s="139">
        <f>IF(E69&gt;0,E69,IF(D69&gt;0,IF(AND(EchFIXE,R69&gt;0),ROUND((L69-C69)*R69/(1-((1+R69)^-D69)),NbDeci),ROUND(L69/D69,NbDeci)),S68))</f>
        <v>6664</v>
      </c>
      <c r="T69" s="1"/>
      <c r="U69" s="1"/>
      <c r="V69" s="1"/>
      <c r="W69" s="1"/>
      <c r="X69" s="1"/>
      <c r="Y69" s="1"/>
      <c r="Z69" s="1"/>
      <c r="AA69" s="1"/>
    </row>
    <row r="70" ht="12.75" customHeight="1">
      <c r="A70" s="1"/>
      <c r="B70" s="140"/>
      <c r="C70" s="141"/>
      <c r="D70" s="142"/>
      <c r="E70" s="143"/>
      <c r="F70" s="144"/>
      <c r="G70" s="1"/>
      <c r="H70" s="131" t="str">
        <f t="shared" si="4"/>
        <v/>
      </c>
      <c r="I70" s="132" t="str">
        <f>IF(L70&gt;0,NbEch+Différé+1-H70,"")</f>
        <v/>
      </c>
      <c r="J70" s="145" t="str">
        <f t="shared" si="2"/>
        <v/>
      </c>
      <c r="K70" s="146" t="str">
        <f>IF(L70=0,"",IF(Ijour=0,MIN(DATE(YEAR(DebAmort),MONTH(DebAmort)+MoisD+(H70-1)*Imois,Jour2),DATE(YEAR(DebAmort),MONTH(DebAmort)+MoisD+1+(H70-1)*Imois,0)),DATE(YEAR(DebAmort),MONTH(DebAmort),Jour1+(H70-1)*Ijour)))</f>
        <v/>
      </c>
      <c r="L70" s="147">
        <f t="shared" si="5"/>
        <v>0</v>
      </c>
      <c r="M70" s="135">
        <f>IF(H70&lt;=NoEchMaxi,ROUND(L70*R70,NbDeci),0)</f>
        <v>0</v>
      </c>
      <c r="N70" s="134">
        <f>IF(OR(H70&lt;=Différé,H70&gt;NoEchMaxi),IF(DiffTotal,-M70,0),IF(H70&gt;=NoEchRemb,L70,IF(S70-(M70*EchFIXE)&gt;L70-2,L70,S70-(M70*EchFIXE))))+C70</f>
        <v>0</v>
      </c>
      <c r="O70" s="136">
        <f>IF(OR(L70=0,H70&gt;NoEchMaxi),0,ROUND(FraisF+FraisV*L70,NbDeci))+F70</f>
        <v>0</v>
      </c>
      <c r="P70" s="148">
        <f t="shared" si="3"/>
        <v>0</v>
      </c>
      <c r="Q70" s="1"/>
      <c r="R70" s="138">
        <f>IF(B70&gt;0,IF(TauxActuariel,((B70+1)^(1/NbEchAn))-1,B70/NbEchAn),R69)</f>
        <v>0.04</v>
      </c>
      <c r="S70" s="139">
        <f>IF(E70&gt;0,E70,IF(D70&gt;0,IF(AND(EchFIXE,R70&gt;0),ROUND((L70-C70)*R70/(1-((1+R70)^-D70)),NbDeci),ROUND(L70/D70,NbDeci)),S69))</f>
        <v>6664</v>
      </c>
      <c r="T70" s="1"/>
      <c r="U70" s="1"/>
      <c r="V70" s="1"/>
      <c r="W70" s="1"/>
      <c r="X70" s="1"/>
      <c r="Y70" s="1"/>
      <c r="Z70" s="1"/>
      <c r="AA70" s="1"/>
    </row>
    <row r="71" ht="12.75" customHeight="1">
      <c r="A71" s="1"/>
      <c r="B71" s="140"/>
      <c r="C71" s="141"/>
      <c r="D71" s="142"/>
      <c r="E71" s="143"/>
      <c r="F71" s="144"/>
      <c r="G71" s="1"/>
      <c r="H71" s="131" t="str">
        <f t="shared" si="4"/>
        <v/>
      </c>
      <c r="I71" s="132" t="str">
        <f>IF(L71&gt;0,NbEch+Différé+1-H71,"")</f>
        <v/>
      </c>
      <c r="J71" s="145" t="str">
        <f t="shared" si="2"/>
        <v/>
      </c>
      <c r="K71" s="146" t="str">
        <f>IF(L71=0,"",IF(Ijour=0,MIN(DATE(YEAR(DebAmort),MONTH(DebAmort)+(H71-1)*Imois,Jour1),DATE(YEAR(DebAmort),MONTH(DebAmort)+1+(H71-1)*Imois,0)),DATE(YEAR(DebAmort),MONTH(DebAmort),Jour1+(H71-1)*Ijour)))</f>
        <v/>
      </c>
      <c r="L71" s="147">
        <f t="shared" si="5"/>
        <v>0</v>
      </c>
      <c r="M71" s="135">
        <f>IF(H71&lt;=NoEchMaxi,ROUND(L71*R71,NbDeci),0)</f>
        <v>0</v>
      </c>
      <c r="N71" s="134">
        <f>IF(OR(H71&lt;=Différé,H71&gt;NoEchMaxi),IF(DiffTotal,-M71,0),IF(H71&gt;=NoEchRemb,L71,IF(S71-(M71*EchFIXE)&gt;L71-2,L71,S71-(M71*EchFIXE))))+C71</f>
        <v>0</v>
      </c>
      <c r="O71" s="136">
        <f>IF(OR(L71=0,H71&gt;NoEchMaxi),0,ROUND(FraisF+FraisV*L71,NbDeci))+F71</f>
        <v>0</v>
      </c>
      <c r="P71" s="148">
        <f t="shared" si="3"/>
        <v>0</v>
      </c>
      <c r="Q71" s="1"/>
      <c r="R71" s="138">
        <f>IF(B71&gt;0,IF(TauxActuariel,((B71+1)^(1/NbEchAn))-1,B71/NbEchAn),R70)</f>
        <v>0.04</v>
      </c>
      <c r="S71" s="139">
        <f>IF(E71&gt;0,E71,IF(D71&gt;0,IF(AND(EchFIXE,R71&gt;0),ROUND((L71-C71)*R71/(1-((1+R71)^-D71)),NbDeci),ROUND(L71/D71,NbDeci)),S70))</f>
        <v>6664</v>
      </c>
      <c r="T71" s="1"/>
      <c r="U71" s="1"/>
      <c r="V71" s="1"/>
      <c r="W71" s="1"/>
      <c r="X71" s="1"/>
      <c r="Y71" s="1"/>
      <c r="Z71" s="1"/>
      <c r="AA71" s="1"/>
    </row>
    <row r="72" ht="12.75" customHeight="1">
      <c r="A72" s="1"/>
      <c r="B72" s="140"/>
      <c r="C72" s="141"/>
      <c r="D72" s="142"/>
      <c r="E72" s="143"/>
      <c r="F72" s="144"/>
      <c r="G72" s="1"/>
      <c r="H72" s="131" t="str">
        <f t="shared" si="4"/>
        <v/>
      </c>
      <c r="I72" s="132" t="str">
        <f>IF(L72&gt;0,NbEch+Différé+1-H72,"")</f>
        <v/>
      </c>
      <c r="J72" s="145" t="str">
        <f t="shared" si="2"/>
        <v/>
      </c>
      <c r="K72" s="146" t="str">
        <f>IF(L72=0,"",IF(Ijour=0,MIN(DATE(YEAR(DebAmort),MONTH(DebAmort)+MoisD+(H72-1)*Imois,Jour2),DATE(YEAR(DebAmort),MONTH(DebAmort)+MoisD+1+(H72-1)*Imois,0)),DATE(YEAR(DebAmort),MONTH(DebAmort),Jour1+(H72-1)*Ijour)))</f>
        <v/>
      </c>
      <c r="L72" s="147">
        <f t="shared" si="5"/>
        <v>0</v>
      </c>
      <c r="M72" s="135">
        <f>IF(H72&lt;=NoEchMaxi,ROUND(L72*R72,NbDeci),0)</f>
        <v>0</v>
      </c>
      <c r="N72" s="134">
        <f>IF(OR(H72&lt;=Différé,H72&gt;NoEchMaxi),IF(DiffTotal,-M72,0),IF(H72&gt;=NoEchRemb,L72,IF(S72-(M72*EchFIXE)&gt;L72-2,L72,S72-(M72*EchFIXE))))+C72</f>
        <v>0</v>
      </c>
      <c r="O72" s="136">
        <f>IF(OR(L72=0,H72&gt;NoEchMaxi),0,ROUND(FraisF+FraisV*L72,NbDeci))+F72</f>
        <v>0</v>
      </c>
      <c r="P72" s="148">
        <f t="shared" si="3"/>
        <v>0</v>
      </c>
      <c r="Q72" s="1"/>
      <c r="R72" s="138">
        <f>IF(B72&gt;0,IF(TauxActuariel,((B72+1)^(1/NbEchAn))-1,B72/NbEchAn),R71)</f>
        <v>0.04</v>
      </c>
      <c r="S72" s="139">
        <f>IF(E72&gt;0,E72,IF(D72&gt;0,IF(AND(EchFIXE,R72&gt;0),ROUND((L72-C72)*R72/(1-((1+R72)^-D72)),NbDeci),ROUND(L72/D72,NbDeci)),S71))</f>
        <v>6664</v>
      </c>
      <c r="T72" s="1"/>
      <c r="U72" s="1"/>
      <c r="V72" s="1"/>
      <c r="W72" s="1"/>
      <c r="X72" s="1"/>
      <c r="Y72" s="1"/>
      <c r="Z72" s="1"/>
      <c r="AA72" s="1"/>
    </row>
    <row r="73" ht="12.75" customHeight="1">
      <c r="A73" s="1"/>
      <c r="B73" s="140"/>
      <c r="C73" s="141"/>
      <c r="D73" s="142"/>
      <c r="E73" s="143"/>
      <c r="F73" s="144"/>
      <c r="G73" s="1"/>
      <c r="H73" s="131" t="str">
        <f t="shared" si="4"/>
        <v/>
      </c>
      <c r="I73" s="132" t="str">
        <f>IF(L73&gt;0,NbEch+Différé+1-H73,"")</f>
        <v/>
      </c>
      <c r="J73" s="145" t="str">
        <f t="shared" si="2"/>
        <v/>
      </c>
      <c r="K73" s="146" t="str">
        <f>IF(L73=0,"",IF(Ijour=0,MIN(DATE(YEAR(DebAmort),MONTH(DebAmort)+(H73-1)*Imois,Jour1),DATE(YEAR(DebAmort),MONTH(DebAmort)+1+(H73-1)*Imois,0)),DATE(YEAR(DebAmort),MONTH(DebAmort),Jour1+(H73-1)*Ijour)))</f>
        <v/>
      </c>
      <c r="L73" s="147">
        <f t="shared" si="5"/>
        <v>0</v>
      </c>
      <c r="M73" s="135">
        <f>IF(H73&lt;=NoEchMaxi,ROUND(L73*R73,NbDeci),0)</f>
        <v>0</v>
      </c>
      <c r="N73" s="134">
        <f>IF(OR(H73&lt;=Différé,H73&gt;NoEchMaxi),IF(DiffTotal,-M73,0),IF(H73&gt;=NoEchRemb,L73,IF(S73-(M73*EchFIXE)&gt;L73-2,L73,S73-(M73*EchFIXE))))+C73</f>
        <v>0</v>
      </c>
      <c r="O73" s="136">
        <f>IF(OR(L73=0,H73&gt;NoEchMaxi),0,ROUND(FraisF+FraisV*L73,NbDeci))+F73</f>
        <v>0</v>
      </c>
      <c r="P73" s="148">
        <f t="shared" si="3"/>
        <v>0</v>
      </c>
      <c r="Q73" s="1"/>
      <c r="R73" s="138">
        <f>IF(B73&gt;0,IF(TauxActuariel,((B73+1)^(1/NbEchAn))-1,B73/NbEchAn),R72)</f>
        <v>0.04</v>
      </c>
      <c r="S73" s="139">
        <f>IF(E73&gt;0,E73,IF(D73&gt;0,IF(AND(EchFIXE,R73&gt;0),ROUND((L73-C73)*R73/(1-((1+R73)^-D73)),NbDeci),ROUND(L73/D73,NbDeci)),S72))</f>
        <v>6664</v>
      </c>
      <c r="T73" s="1"/>
      <c r="U73" s="1"/>
      <c r="V73" s="1"/>
      <c r="W73" s="1"/>
      <c r="X73" s="1"/>
      <c r="Y73" s="1"/>
      <c r="Z73" s="1"/>
      <c r="AA73" s="1"/>
    </row>
    <row r="74" ht="12.75" customHeight="1">
      <c r="A74" s="1"/>
      <c r="B74" s="140"/>
      <c r="C74" s="141"/>
      <c r="D74" s="142"/>
      <c r="E74" s="143"/>
      <c r="F74" s="144"/>
      <c r="G74" s="1"/>
      <c r="H74" s="131" t="str">
        <f t="shared" si="4"/>
        <v/>
      </c>
      <c r="I74" s="132" t="str">
        <f>IF(L74&gt;0,NbEch+Différé+1-H74,"")</f>
        <v/>
      </c>
      <c r="J74" s="145" t="str">
        <f t="shared" si="2"/>
        <v/>
      </c>
      <c r="K74" s="146" t="str">
        <f>IF(L74=0,"",IF(Ijour=0,MIN(DATE(YEAR(DebAmort),MONTH(DebAmort)+MoisD+(H74-1)*Imois,Jour2),DATE(YEAR(DebAmort),MONTH(DebAmort)+MoisD+1+(H74-1)*Imois,0)),DATE(YEAR(DebAmort),MONTH(DebAmort),Jour1+(H74-1)*Ijour)))</f>
        <v/>
      </c>
      <c r="L74" s="147">
        <f t="shared" si="5"/>
        <v>0</v>
      </c>
      <c r="M74" s="135">
        <f>IF(H74&lt;=NoEchMaxi,ROUND(L74*R74,NbDeci),0)</f>
        <v>0</v>
      </c>
      <c r="N74" s="134">
        <f>IF(OR(H74&lt;=Différé,H74&gt;NoEchMaxi),IF(DiffTotal,-M74,0),IF(H74&gt;=NoEchRemb,L74,IF(S74-(M74*EchFIXE)&gt;L74-2,L74,S74-(M74*EchFIXE))))+C74</f>
        <v>0</v>
      </c>
      <c r="O74" s="136">
        <f>IF(OR(L74=0,H74&gt;NoEchMaxi),0,ROUND(FraisF+FraisV*L74,NbDeci))+F74</f>
        <v>0</v>
      </c>
      <c r="P74" s="148">
        <f t="shared" si="3"/>
        <v>0</v>
      </c>
      <c r="Q74" s="1"/>
      <c r="R74" s="138">
        <f>IF(B74&gt;0,IF(TauxActuariel,((B74+1)^(1/NbEchAn))-1,B74/NbEchAn),R73)</f>
        <v>0.04</v>
      </c>
      <c r="S74" s="139">
        <f>IF(E74&gt;0,E74,IF(D74&gt;0,IF(AND(EchFIXE,R74&gt;0),ROUND((L74-C74)*R74/(1-((1+R74)^-D74)),NbDeci),ROUND(L74/D74,NbDeci)),S73))</f>
        <v>6664</v>
      </c>
      <c r="T74" s="1"/>
      <c r="U74" s="1"/>
      <c r="V74" s="1"/>
      <c r="W74" s="1"/>
      <c r="X74" s="1"/>
      <c r="Y74" s="1"/>
      <c r="Z74" s="1"/>
      <c r="AA74" s="1"/>
    </row>
    <row r="75" ht="12.75" customHeight="1">
      <c r="A75" s="1"/>
      <c r="B75" s="140"/>
      <c r="C75" s="141"/>
      <c r="D75" s="142"/>
      <c r="E75" s="143"/>
      <c r="F75" s="144"/>
      <c r="G75" s="1"/>
      <c r="H75" s="131" t="str">
        <f t="shared" si="4"/>
        <v/>
      </c>
      <c r="I75" s="132" t="str">
        <f>IF(L75&gt;0,NbEch+Différé+1-H75,"")</f>
        <v/>
      </c>
      <c r="J75" s="145" t="str">
        <f t="shared" si="2"/>
        <v/>
      </c>
      <c r="K75" s="146" t="str">
        <f>IF(L75=0,"",IF(Ijour=0,MIN(DATE(YEAR(DebAmort),MONTH(DebAmort)+(H75-1)*Imois,Jour1),DATE(YEAR(DebAmort),MONTH(DebAmort)+1+(H75-1)*Imois,0)),DATE(YEAR(DebAmort),MONTH(DebAmort),Jour1+(H75-1)*Ijour)))</f>
        <v/>
      </c>
      <c r="L75" s="147">
        <f t="shared" si="5"/>
        <v>0</v>
      </c>
      <c r="M75" s="135">
        <f>IF(H75&lt;=NoEchMaxi,ROUND(L75*R75,NbDeci),0)</f>
        <v>0</v>
      </c>
      <c r="N75" s="134">
        <f>IF(OR(H75&lt;=Différé,H75&gt;NoEchMaxi),IF(DiffTotal,-M75,0),IF(H75&gt;=NoEchRemb,L75,IF(S75-(M75*EchFIXE)&gt;L75-2,L75,S75-(M75*EchFIXE))))+C75</f>
        <v>0</v>
      </c>
      <c r="O75" s="136">
        <f>IF(OR(L75=0,H75&gt;NoEchMaxi),0,ROUND(FraisF+FraisV*L75,NbDeci))+F75</f>
        <v>0</v>
      </c>
      <c r="P75" s="148">
        <f t="shared" si="3"/>
        <v>0</v>
      </c>
      <c r="Q75" s="1"/>
      <c r="R75" s="138">
        <f>IF(B75&gt;0,IF(TauxActuariel,((B75+1)^(1/NbEchAn))-1,B75/NbEchAn),R74)</f>
        <v>0.04</v>
      </c>
      <c r="S75" s="139">
        <f>IF(E75&gt;0,E75,IF(D75&gt;0,IF(AND(EchFIXE,R75&gt;0),ROUND((L75-C75)*R75/(1-((1+R75)^-D75)),NbDeci),ROUND(L75/D75,NbDeci)),S74))</f>
        <v>6664</v>
      </c>
      <c r="T75" s="1"/>
      <c r="U75" s="1"/>
      <c r="V75" s="1"/>
      <c r="W75" s="1"/>
      <c r="X75" s="1"/>
      <c r="Y75" s="1"/>
      <c r="Z75" s="1"/>
      <c r="AA75" s="1"/>
    </row>
    <row r="76" ht="12.75" customHeight="1">
      <c r="A76" s="1"/>
      <c r="B76" s="140"/>
      <c r="C76" s="141"/>
      <c r="D76" s="142"/>
      <c r="E76" s="143"/>
      <c r="F76" s="144"/>
      <c r="G76" s="1"/>
      <c r="H76" s="131" t="str">
        <f t="shared" si="4"/>
        <v/>
      </c>
      <c r="I76" s="132" t="str">
        <f>IF(L76&gt;0,NbEch+Différé+1-H76,"")</f>
        <v/>
      </c>
      <c r="J76" s="145" t="str">
        <f t="shared" si="2"/>
        <v/>
      </c>
      <c r="K76" s="146" t="str">
        <f>IF(L76=0,"",IF(Ijour=0,MIN(DATE(YEAR(DebAmort),MONTH(DebAmort)+MoisD+(H76-1)*Imois,Jour2),DATE(YEAR(DebAmort),MONTH(DebAmort)+MoisD+1+(H76-1)*Imois,0)),DATE(YEAR(DebAmort),MONTH(DebAmort),Jour1+(H76-1)*Ijour)))</f>
        <v/>
      </c>
      <c r="L76" s="147">
        <f t="shared" si="5"/>
        <v>0</v>
      </c>
      <c r="M76" s="135">
        <f>IF(H76&lt;=NoEchMaxi,ROUND(L76*R76,NbDeci),0)</f>
        <v>0</v>
      </c>
      <c r="N76" s="134">
        <f>IF(OR(H76&lt;=Différé,H76&gt;NoEchMaxi),IF(DiffTotal,-M76,0),IF(H76&gt;=NoEchRemb,L76,IF(S76-(M76*EchFIXE)&gt;L76-2,L76,S76-(M76*EchFIXE))))+C76</f>
        <v>0</v>
      </c>
      <c r="O76" s="136">
        <f>IF(OR(L76=0,H76&gt;NoEchMaxi),0,ROUND(FraisF+FraisV*L76,NbDeci))+F76</f>
        <v>0</v>
      </c>
      <c r="P76" s="148">
        <f t="shared" si="3"/>
        <v>0</v>
      </c>
      <c r="Q76" s="1"/>
      <c r="R76" s="138">
        <f>IF(B76&gt;0,IF(TauxActuariel,((B76+1)^(1/NbEchAn))-1,B76/NbEchAn),R75)</f>
        <v>0.04</v>
      </c>
      <c r="S76" s="139">
        <f>IF(E76&gt;0,E76,IF(D76&gt;0,IF(AND(EchFIXE,R76&gt;0),ROUND((L76-C76)*R76/(1-((1+R76)^-D76)),NbDeci),ROUND(L76/D76,NbDeci)),S75))</f>
        <v>6664</v>
      </c>
      <c r="T76" s="1"/>
      <c r="U76" s="1"/>
      <c r="V76" s="1"/>
      <c r="W76" s="1"/>
      <c r="X76" s="1"/>
      <c r="Y76" s="1"/>
      <c r="Z76" s="1"/>
      <c r="AA76" s="1"/>
    </row>
    <row r="77" ht="12.75" customHeight="1">
      <c r="A77" s="1"/>
      <c r="B77" s="140"/>
      <c r="C77" s="141"/>
      <c r="D77" s="142"/>
      <c r="E77" s="143"/>
      <c r="F77" s="144"/>
      <c r="G77" s="1"/>
      <c r="H77" s="131" t="str">
        <f t="shared" si="4"/>
        <v/>
      </c>
      <c r="I77" s="132" t="str">
        <f>IF(L77&gt;0,NbEch+Différé+1-H77,"")</f>
        <v/>
      </c>
      <c r="J77" s="145" t="str">
        <f t="shared" si="2"/>
        <v/>
      </c>
      <c r="K77" s="146" t="str">
        <f>IF(L77=0,"",IF(Ijour=0,MIN(DATE(YEAR(DebAmort),MONTH(DebAmort)+(H77-1)*Imois,Jour1),DATE(YEAR(DebAmort),MONTH(DebAmort)+1+(H77-1)*Imois,0)),DATE(YEAR(DebAmort),MONTH(DebAmort),Jour1+(H77-1)*Ijour)))</f>
        <v/>
      </c>
      <c r="L77" s="147">
        <f t="shared" si="5"/>
        <v>0</v>
      </c>
      <c r="M77" s="135">
        <f>IF(H77&lt;=NoEchMaxi,ROUND(L77*R77,NbDeci),0)</f>
        <v>0</v>
      </c>
      <c r="N77" s="134">
        <f>IF(OR(H77&lt;=Différé,H77&gt;NoEchMaxi),IF(DiffTotal,-M77,0),IF(H77&gt;=NoEchRemb,L77,IF(S77-(M77*EchFIXE)&gt;L77-2,L77,S77-(M77*EchFIXE))))+C77</f>
        <v>0</v>
      </c>
      <c r="O77" s="136">
        <f>IF(OR(L77=0,H77&gt;NoEchMaxi),0,ROUND(FraisF+FraisV*L77,NbDeci))+F77</f>
        <v>0</v>
      </c>
      <c r="P77" s="148">
        <f t="shared" si="3"/>
        <v>0</v>
      </c>
      <c r="Q77" s="1"/>
      <c r="R77" s="138">
        <f>IF(B77&gt;0,IF(TauxActuariel,((B77+1)^(1/NbEchAn))-1,B77/NbEchAn),R76)</f>
        <v>0.04</v>
      </c>
      <c r="S77" s="139">
        <f>IF(E77&gt;0,E77,IF(D77&gt;0,IF(AND(EchFIXE,R77&gt;0),ROUND((L77-C77)*R77/(1-((1+R77)^-D77)),NbDeci),ROUND(L77/D77,NbDeci)),S76))</f>
        <v>6664</v>
      </c>
      <c r="T77" s="1"/>
      <c r="U77" s="1"/>
      <c r="V77" s="1"/>
      <c r="W77" s="1"/>
      <c r="X77" s="1"/>
      <c r="Y77" s="1"/>
      <c r="Z77" s="1"/>
      <c r="AA77" s="1"/>
    </row>
    <row r="78" ht="12.75" customHeight="1">
      <c r="A78" s="1"/>
      <c r="B78" s="140"/>
      <c r="C78" s="141"/>
      <c r="D78" s="142"/>
      <c r="E78" s="143"/>
      <c r="F78" s="144"/>
      <c r="G78" s="1"/>
      <c r="H78" s="131" t="str">
        <f t="shared" si="4"/>
        <v/>
      </c>
      <c r="I78" s="132" t="str">
        <f>IF(L78&gt;0,NbEch+Différé+1-H78,"")</f>
        <v/>
      </c>
      <c r="J78" s="145" t="str">
        <f t="shared" si="2"/>
        <v/>
      </c>
      <c r="K78" s="146" t="str">
        <f>IF(L78=0,"",IF(Ijour=0,MIN(DATE(YEAR(DebAmort),MONTH(DebAmort)+MoisD+(H78-1)*Imois,Jour2),DATE(YEAR(DebAmort),MONTH(DebAmort)+MoisD+1+(H78-1)*Imois,0)),DATE(YEAR(DebAmort),MONTH(DebAmort),Jour1+(H78-1)*Ijour)))</f>
        <v/>
      </c>
      <c r="L78" s="147">
        <f t="shared" si="5"/>
        <v>0</v>
      </c>
      <c r="M78" s="135">
        <f>IF(H78&lt;=NoEchMaxi,ROUND(L78*R78,NbDeci),0)</f>
        <v>0</v>
      </c>
      <c r="N78" s="134">
        <f>IF(OR(H78&lt;=Différé,H78&gt;NoEchMaxi),IF(DiffTotal,-M78,0),IF(H78&gt;=NoEchRemb,L78,IF(S78-(M78*EchFIXE)&gt;L78-2,L78,S78-(M78*EchFIXE))))+C78</f>
        <v>0</v>
      </c>
      <c r="O78" s="136">
        <f>IF(OR(L78=0,H78&gt;NoEchMaxi),0,ROUND(FraisF+FraisV*L78,NbDeci))+F78</f>
        <v>0</v>
      </c>
      <c r="P78" s="148">
        <f t="shared" si="3"/>
        <v>0</v>
      </c>
      <c r="Q78" s="1"/>
      <c r="R78" s="138">
        <f>IF(B78&gt;0,IF(TauxActuariel,((B78+1)^(1/NbEchAn))-1,B78/NbEchAn),R77)</f>
        <v>0.04</v>
      </c>
      <c r="S78" s="139">
        <f>IF(E78&gt;0,E78,IF(D78&gt;0,IF(AND(EchFIXE,R78&gt;0),ROUND((L78-C78)*R78/(1-((1+R78)^-D78)),NbDeci),ROUND(L78/D78,NbDeci)),S77))</f>
        <v>6664</v>
      </c>
      <c r="T78" s="1"/>
      <c r="U78" s="1"/>
      <c r="V78" s="1"/>
      <c r="W78" s="1"/>
      <c r="X78" s="1"/>
      <c r="Y78" s="1"/>
      <c r="Z78" s="1"/>
      <c r="AA78" s="1"/>
    </row>
    <row r="79" ht="12.75" customHeight="1">
      <c r="A79" s="1"/>
      <c r="B79" s="140"/>
      <c r="C79" s="141"/>
      <c r="D79" s="142"/>
      <c r="E79" s="143"/>
      <c r="F79" s="144"/>
      <c r="G79" s="1"/>
      <c r="H79" s="131" t="str">
        <f t="shared" si="4"/>
        <v/>
      </c>
      <c r="I79" s="132" t="str">
        <f>IF(L79&gt;0,NbEch+Différé+1-H79,"")</f>
        <v/>
      </c>
      <c r="J79" s="145" t="str">
        <f t="shared" si="2"/>
        <v/>
      </c>
      <c r="K79" s="146" t="str">
        <f>IF(L79=0,"",IF(Ijour=0,MIN(DATE(YEAR(DebAmort),MONTH(DebAmort)+(H79-1)*Imois,Jour1),DATE(YEAR(DebAmort),MONTH(DebAmort)+1+(H79-1)*Imois,0)),DATE(YEAR(DebAmort),MONTH(DebAmort),Jour1+(H79-1)*Ijour)))</f>
        <v/>
      </c>
      <c r="L79" s="147">
        <f t="shared" si="5"/>
        <v>0</v>
      </c>
      <c r="M79" s="135">
        <f>IF(H79&lt;=NoEchMaxi,ROUND(L79*R79,NbDeci),0)</f>
        <v>0</v>
      </c>
      <c r="N79" s="134">
        <f>IF(OR(H79&lt;=Différé,H79&gt;NoEchMaxi),IF(DiffTotal,-M79,0),IF(H79&gt;=NoEchRemb,L79,IF(S79-(M79*EchFIXE)&gt;L79-2,L79,S79-(M79*EchFIXE))))+C79</f>
        <v>0</v>
      </c>
      <c r="O79" s="136">
        <f>IF(OR(L79=0,H79&gt;NoEchMaxi),0,ROUND(FraisF+FraisV*L79,NbDeci))+F79</f>
        <v>0</v>
      </c>
      <c r="P79" s="148">
        <f t="shared" si="3"/>
        <v>0</v>
      </c>
      <c r="Q79" s="1"/>
      <c r="R79" s="138">
        <f>IF(B79&gt;0,IF(TauxActuariel,((B79+1)^(1/NbEchAn))-1,B79/NbEchAn),R78)</f>
        <v>0.04</v>
      </c>
      <c r="S79" s="139">
        <f>IF(E79&gt;0,E79,IF(D79&gt;0,IF(AND(EchFIXE,R79&gt;0),ROUND((L79-C79)*R79/(1-((1+R79)^-D79)),NbDeci),ROUND(L79/D79,NbDeci)),S78))</f>
        <v>6664</v>
      </c>
      <c r="T79" s="1"/>
      <c r="U79" s="1"/>
      <c r="V79" s="1"/>
      <c r="W79" s="1"/>
      <c r="X79" s="1"/>
      <c r="Y79" s="1"/>
      <c r="Z79" s="1"/>
      <c r="AA79" s="1"/>
    </row>
    <row r="80" ht="12.75" customHeight="1">
      <c r="A80" s="1"/>
      <c r="B80" s="140"/>
      <c r="C80" s="141"/>
      <c r="D80" s="142"/>
      <c r="E80" s="143"/>
      <c r="F80" s="144"/>
      <c r="G80" s="1"/>
      <c r="H80" s="131" t="str">
        <f t="shared" si="4"/>
        <v/>
      </c>
      <c r="I80" s="132" t="str">
        <f>IF(L80&gt;0,NbEch+Différé+1-H80,"")</f>
        <v/>
      </c>
      <c r="J80" s="145" t="str">
        <f t="shared" si="2"/>
        <v/>
      </c>
      <c r="K80" s="146" t="str">
        <f>IF(L80=0,"",IF(Ijour=0,MIN(DATE(YEAR(DebAmort),MONTH(DebAmort)+MoisD+(H80-1)*Imois,Jour2),DATE(YEAR(DebAmort),MONTH(DebAmort)+MoisD+1+(H80-1)*Imois,0)),DATE(YEAR(DebAmort),MONTH(DebAmort),Jour1+(H80-1)*Ijour)))</f>
        <v/>
      </c>
      <c r="L80" s="147">
        <f t="shared" si="5"/>
        <v>0</v>
      </c>
      <c r="M80" s="135">
        <f>IF(H80&lt;=NoEchMaxi,ROUND(L80*R80,NbDeci),0)</f>
        <v>0</v>
      </c>
      <c r="N80" s="134">
        <f>IF(OR(H80&lt;=Différé,H80&gt;NoEchMaxi),IF(DiffTotal,-M80,0),IF(H80&gt;=NoEchRemb,L80,IF(S80-(M80*EchFIXE)&gt;L80-2,L80,S80-(M80*EchFIXE))))+C80</f>
        <v>0</v>
      </c>
      <c r="O80" s="136">
        <f>IF(OR(L80=0,H80&gt;NoEchMaxi),0,ROUND(FraisF+FraisV*L80,NbDeci))+F80</f>
        <v>0</v>
      </c>
      <c r="P80" s="148">
        <f t="shared" si="3"/>
        <v>0</v>
      </c>
      <c r="Q80" s="1"/>
      <c r="R80" s="138">
        <f>IF(B80&gt;0,IF(TauxActuariel,((B80+1)^(1/NbEchAn))-1,B80/NbEchAn),R79)</f>
        <v>0.04</v>
      </c>
      <c r="S80" s="139">
        <f>IF(E80&gt;0,E80,IF(D80&gt;0,IF(AND(EchFIXE,R80&gt;0),ROUND((L80-C80)*R80/(1-((1+R80)^-D80)),NbDeci),ROUND(L80/D80,NbDeci)),S79))</f>
        <v>6664</v>
      </c>
      <c r="T80" s="1"/>
      <c r="U80" s="1"/>
      <c r="V80" s="1"/>
      <c r="W80" s="1"/>
      <c r="X80" s="1"/>
      <c r="Y80" s="1"/>
      <c r="Z80" s="1"/>
      <c r="AA80" s="1"/>
    </row>
    <row r="81" ht="12.75" customHeight="1">
      <c r="A81" s="1"/>
      <c r="B81" s="140"/>
      <c r="C81" s="141"/>
      <c r="D81" s="142"/>
      <c r="E81" s="143"/>
      <c r="F81" s="144"/>
      <c r="G81" s="1"/>
      <c r="H81" s="131" t="str">
        <f t="shared" si="4"/>
        <v/>
      </c>
      <c r="I81" s="132" t="str">
        <f>IF(L81&gt;0,NbEch+Différé+1-H81,"")</f>
        <v/>
      </c>
      <c r="J81" s="145" t="str">
        <f t="shared" si="2"/>
        <v/>
      </c>
      <c r="K81" s="146" t="str">
        <f>IF(L81=0,"",IF(Ijour=0,MIN(DATE(YEAR(DebAmort),MONTH(DebAmort)+(H81-1)*Imois,Jour1),DATE(YEAR(DebAmort),MONTH(DebAmort)+1+(H81-1)*Imois,0)),DATE(YEAR(DebAmort),MONTH(DebAmort),Jour1+(H81-1)*Ijour)))</f>
        <v/>
      </c>
      <c r="L81" s="147">
        <f t="shared" si="5"/>
        <v>0</v>
      </c>
      <c r="M81" s="135">
        <f>IF(H81&lt;=NoEchMaxi,ROUND(L81*R81,NbDeci),0)</f>
        <v>0</v>
      </c>
      <c r="N81" s="134">
        <f>IF(OR(H81&lt;=Différé,H81&gt;NoEchMaxi),IF(DiffTotal,-M81,0),IF(H81&gt;=NoEchRemb,L81,IF(S81-(M81*EchFIXE)&gt;L81-2,L81,S81-(M81*EchFIXE))))+C81</f>
        <v>0</v>
      </c>
      <c r="O81" s="136">
        <f>IF(OR(L81=0,H81&gt;NoEchMaxi),0,ROUND(FraisF+FraisV*L81,NbDeci))+F81</f>
        <v>0</v>
      </c>
      <c r="P81" s="148">
        <f t="shared" si="3"/>
        <v>0</v>
      </c>
      <c r="Q81" s="1"/>
      <c r="R81" s="138">
        <f>IF(B81&gt;0,IF(TauxActuariel,((B81+1)^(1/NbEchAn))-1,B81/NbEchAn),R80)</f>
        <v>0.04</v>
      </c>
      <c r="S81" s="139">
        <f>IF(E81&gt;0,E81,IF(D81&gt;0,IF(AND(EchFIXE,R81&gt;0),ROUND((L81-C81)*R81/(1-((1+R81)^-D81)),NbDeci),ROUND(L81/D81,NbDeci)),S80))</f>
        <v>6664</v>
      </c>
      <c r="T81" s="1"/>
      <c r="U81" s="1"/>
      <c r="V81" s="1"/>
      <c r="W81" s="1"/>
      <c r="X81" s="1"/>
      <c r="Y81" s="1"/>
      <c r="Z81" s="1"/>
      <c r="AA81" s="1"/>
    </row>
    <row r="82" ht="12.75" customHeight="1">
      <c r="A82" s="1"/>
      <c r="B82" s="140"/>
      <c r="C82" s="141"/>
      <c r="D82" s="142"/>
      <c r="E82" s="143"/>
      <c r="F82" s="144"/>
      <c r="G82" s="1"/>
      <c r="H82" s="131" t="str">
        <f t="shared" si="4"/>
        <v/>
      </c>
      <c r="I82" s="132" t="str">
        <f>IF(L82&gt;0,NbEch+Différé+1-H82,"")</f>
        <v/>
      </c>
      <c r="J82" s="145" t="str">
        <f t="shared" si="2"/>
        <v/>
      </c>
      <c r="K82" s="146" t="str">
        <f>IF(L82=0,"",IF(Ijour=0,MIN(DATE(YEAR(DebAmort),MONTH(DebAmort)+MoisD+(H82-1)*Imois,Jour2),DATE(YEAR(DebAmort),MONTH(DebAmort)+MoisD+1+(H82-1)*Imois,0)),DATE(YEAR(DebAmort),MONTH(DebAmort),Jour1+(H82-1)*Ijour)))</f>
        <v/>
      </c>
      <c r="L82" s="147">
        <f t="shared" si="5"/>
        <v>0</v>
      </c>
      <c r="M82" s="135">
        <f>IF(H82&lt;=NoEchMaxi,ROUND(L82*R82,NbDeci),0)</f>
        <v>0</v>
      </c>
      <c r="N82" s="134">
        <f>IF(OR(H82&lt;=Différé,H82&gt;NoEchMaxi),IF(DiffTotal,-M82,0),IF(H82&gt;=NoEchRemb,L82,IF(S82-(M82*EchFIXE)&gt;L82-2,L82,S82-(M82*EchFIXE))))+C82</f>
        <v>0</v>
      </c>
      <c r="O82" s="136">
        <f>IF(OR(L82=0,H82&gt;NoEchMaxi),0,ROUND(FraisF+FraisV*L82,NbDeci))+F82</f>
        <v>0</v>
      </c>
      <c r="P82" s="148">
        <f t="shared" si="3"/>
        <v>0</v>
      </c>
      <c r="Q82" s="1"/>
      <c r="R82" s="138">
        <f>IF(B82&gt;0,IF(TauxActuariel,((B82+1)^(1/NbEchAn))-1,B82/NbEchAn),R81)</f>
        <v>0.04</v>
      </c>
      <c r="S82" s="139">
        <f>IF(E82&gt;0,E82,IF(D82&gt;0,IF(AND(EchFIXE,R82&gt;0),ROUND((L82-C82)*R82/(1-((1+R82)^-D82)),NbDeci),ROUND(L82/D82,NbDeci)),S81))</f>
        <v>6664</v>
      </c>
      <c r="T82" s="1"/>
      <c r="U82" s="1"/>
      <c r="V82" s="1"/>
      <c r="W82" s="1"/>
      <c r="X82" s="1"/>
      <c r="Y82" s="1"/>
      <c r="Z82" s="1"/>
      <c r="AA82" s="1"/>
    </row>
    <row r="83" ht="12.75" customHeight="1">
      <c r="A83" s="1"/>
      <c r="B83" s="140"/>
      <c r="C83" s="141"/>
      <c r="D83" s="142"/>
      <c r="E83" s="143"/>
      <c r="F83" s="144"/>
      <c r="G83" s="1"/>
      <c r="H83" s="131" t="str">
        <f t="shared" si="4"/>
        <v/>
      </c>
      <c r="I83" s="132" t="str">
        <f>IF(L83&gt;0,NbEch+Différé+1-H83,"")</f>
        <v/>
      </c>
      <c r="J83" s="145" t="str">
        <f t="shared" si="2"/>
        <v/>
      </c>
      <c r="K83" s="146" t="str">
        <f>IF(L83=0,"",IF(Ijour=0,MIN(DATE(YEAR(DebAmort),MONTH(DebAmort)+(H83-1)*Imois,Jour1),DATE(YEAR(DebAmort),MONTH(DebAmort)+1+(H83-1)*Imois,0)),DATE(YEAR(DebAmort),MONTH(DebAmort),Jour1+(H83-1)*Ijour)))</f>
        <v/>
      </c>
      <c r="L83" s="147">
        <f t="shared" si="5"/>
        <v>0</v>
      </c>
      <c r="M83" s="135">
        <f>IF(H83&lt;=NoEchMaxi,ROUND(L83*R83,NbDeci),0)</f>
        <v>0</v>
      </c>
      <c r="N83" s="134">
        <f>IF(OR(H83&lt;=Différé,H83&gt;NoEchMaxi),IF(DiffTotal,-M83,0),IF(H83&gt;=NoEchRemb,L83,IF(S83-(M83*EchFIXE)&gt;L83-2,L83,S83-(M83*EchFIXE))))+C83</f>
        <v>0</v>
      </c>
      <c r="O83" s="136">
        <f>IF(OR(L83=0,H83&gt;NoEchMaxi),0,ROUND(FraisF+FraisV*L83,NbDeci))+F83</f>
        <v>0</v>
      </c>
      <c r="P83" s="148">
        <f t="shared" si="3"/>
        <v>0</v>
      </c>
      <c r="Q83" s="1"/>
      <c r="R83" s="138">
        <f>IF(B83&gt;0,IF(TauxActuariel,((B83+1)^(1/NbEchAn))-1,B83/NbEchAn),R82)</f>
        <v>0.04</v>
      </c>
      <c r="S83" s="139">
        <f>IF(E83&gt;0,E83,IF(D83&gt;0,IF(AND(EchFIXE,R83&gt;0),ROUND((L83-C83)*R83/(1-((1+R83)^-D83)),NbDeci),ROUND(L83/D83,NbDeci)),S82))</f>
        <v>6664</v>
      </c>
      <c r="T83" s="1"/>
      <c r="U83" s="1"/>
      <c r="V83" s="1"/>
      <c r="W83" s="1"/>
      <c r="X83" s="1"/>
      <c r="Y83" s="1"/>
      <c r="Z83" s="1"/>
      <c r="AA83" s="1"/>
    </row>
    <row r="84" ht="12.75" customHeight="1">
      <c r="A84" s="1"/>
      <c r="B84" s="140"/>
      <c r="C84" s="141"/>
      <c r="D84" s="142"/>
      <c r="E84" s="143"/>
      <c r="F84" s="144"/>
      <c r="G84" s="1"/>
      <c r="H84" s="131" t="str">
        <f t="shared" si="4"/>
        <v/>
      </c>
      <c r="I84" s="132" t="str">
        <f>IF(L84&gt;0,NbEch+Différé+1-H84,"")</f>
        <v/>
      </c>
      <c r="J84" s="145" t="str">
        <f t="shared" si="2"/>
        <v/>
      </c>
      <c r="K84" s="146" t="str">
        <f>IF(L84=0,"",IF(Ijour=0,MIN(DATE(YEAR(DebAmort),MONTH(DebAmort)+MoisD+(H84-1)*Imois,Jour2),DATE(YEAR(DebAmort),MONTH(DebAmort)+MoisD+1+(H84-1)*Imois,0)),DATE(YEAR(DebAmort),MONTH(DebAmort),Jour1+(H84-1)*Ijour)))</f>
        <v/>
      </c>
      <c r="L84" s="147">
        <f t="shared" si="5"/>
        <v>0</v>
      </c>
      <c r="M84" s="135">
        <f>IF(H84&lt;=NoEchMaxi,ROUND(L84*R84,NbDeci),0)</f>
        <v>0</v>
      </c>
      <c r="N84" s="134">
        <f>IF(OR(H84&lt;=Différé,H84&gt;NoEchMaxi),IF(DiffTotal,-M84,0),IF(H84&gt;=NoEchRemb,L84,IF(S84-(M84*EchFIXE)&gt;L84-2,L84,S84-(M84*EchFIXE))))+C84</f>
        <v>0</v>
      </c>
      <c r="O84" s="136">
        <f>IF(OR(L84=0,H84&gt;NoEchMaxi),0,ROUND(FraisF+FraisV*L84,NbDeci))+F84</f>
        <v>0</v>
      </c>
      <c r="P84" s="148">
        <f t="shared" si="3"/>
        <v>0</v>
      </c>
      <c r="Q84" s="1"/>
      <c r="R84" s="138">
        <f>IF(B84&gt;0,IF(TauxActuariel,((B84+1)^(1/NbEchAn))-1,B84/NbEchAn),R83)</f>
        <v>0.04</v>
      </c>
      <c r="S84" s="139">
        <f>IF(E84&gt;0,E84,IF(D84&gt;0,IF(AND(EchFIXE,R84&gt;0),ROUND((L84-C84)*R84/(1-((1+R84)^-D84)),NbDeci),ROUND(L84/D84,NbDeci)),S83))</f>
        <v>6664</v>
      </c>
      <c r="T84" s="1"/>
      <c r="U84" s="1"/>
      <c r="V84" s="1"/>
      <c r="W84" s="1"/>
      <c r="X84" s="1"/>
      <c r="Y84" s="1"/>
      <c r="Z84" s="1"/>
      <c r="AA84" s="1"/>
    </row>
    <row r="85" ht="12.75" customHeight="1">
      <c r="A85" s="1"/>
      <c r="B85" s="140"/>
      <c r="C85" s="141"/>
      <c r="D85" s="142"/>
      <c r="E85" s="143"/>
      <c r="F85" s="144"/>
      <c r="G85" s="1"/>
      <c r="H85" s="131" t="str">
        <f t="shared" si="4"/>
        <v/>
      </c>
      <c r="I85" s="132" t="str">
        <f>IF(L85&gt;0,NbEch+Différé+1-H85,"")</f>
        <v/>
      </c>
      <c r="J85" s="145" t="str">
        <f t="shared" si="2"/>
        <v/>
      </c>
      <c r="K85" s="146" t="str">
        <f>IF(L85=0,"",IF(Ijour=0,MIN(DATE(YEAR(DebAmort),MONTH(DebAmort)+(H85-1)*Imois,Jour1),DATE(YEAR(DebAmort),MONTH(DebAmort)+1+(H85-1)*Imois,0)),DATE(YEAR(DebAmort),MONTH(DebAmort),Jour1+(H85-1)*Ijour)))</f>
        <v/>
      </c>
      <c r="L85" s="147">
        <f t="shared" si="5"/>
        <v>0</v>
      </c>
      <c r="M85" s="135">
        <f>IF(H85&lt;=NoEchMaxi,ROUND(L85*R85,NbDeci),0)</f>
        <v>0</v>
      </c>
      <c r="N85" s="134">
        <f>IF(OR(H85&lt;=Différé,H85&gt;NoEchMaxi),IF(DiffTotal,-M85,0),IF(H85&gt;=NoEchRemb,L85,IF(S85-(M85*EchFIXE)&gt;L85-2,L85,S85-(M85*EchFIXE))))+C85</f>
        <v>0</v>
      </c>
      <c r="O85" s="136">
        <f>IF(OR(L85=0,H85&gt;NoEchMaxi),0,ROUND(FraisF+FraisV*L85,NbDeci))+F85</f>
        <v>0</v>
      </c>
      <c r="P85" s="148">
        <f t="shared" si="3"/>
        <v>0</v>
      </c>
      <c r="Q85" s="1"/>
      <c r="R85" s="138">
        <f>IF(B85&gt;0,IF(TauxActuariel,((B85+1)^(1/NbEchAn))-1,B85/NbEchAn),R84)</f>
        <v>0.04</v>
      </c>
      <c r="S85" s="139">
        <f>IF(E85&gt;0,E85,IF(D85&gt;0,IF(AND(EchFIXE,R85&gt;0),ROUND((L85-C85)*R85/(1-((1+R85)^-D85)),NbDeci),ROUND(L85/D85,NbDeci)),S84))</f>
        <v>6664</v>
      </c>
      <c r="T85" s="1"/>
      <c r="U85" s="1"/>
      <c r="V85" s="1"/>
      <c r="W85" s="1"/>
      <c r="X85" s="1"/>
      <c r="Y85" s="1"/>
      <c r="Z85" s="1"/>
      <c r="AA85" s="1"/>
    </row>
    <row r="86" ht="12.75" customHeight="1">
      <c r="A86" s="1"/>
      <c r="B86" s="140"/>
      <c r="C86" s="141"/>
      <c r="D86" s="142"/>
      <c r="E86" s="143"/>
      <c r="F86" s="144"/>
      <c r="G86" s="1"/>
      <c r="H86" s="131" t="str">
        <f t="shared" si="4"/>
        <v/>
      </c>
      <c r="I86" s="132" t="str">
        <f>IF(L86&gt;0,NbEch+Différé+1-H86,"")</f>
        <v/>
      </c>
      <c r="J86" s="145" t="str">
        <f t="shared" si="2"/>
        <v/>
      </c>
      <c r="K86" s="146" t="str">
        <f>IF(L86=0,"",IF(Ijour=0,MIN(DATE(YEAR(DebAmort),MONTH(DebAmort)+MoisD+(H86-1)*Imois,Jour2),DATE(YEAR(DebAmort),MONTH(DebAmort)+MoisD+1+(H86-1)*Imois,0)),DATE(YEAR(DebAmort),MONTH(DebAmort),Jour1+(H86-1)*Ijour)))</f>
        <v/>
      </c>
      <c r="L86" s="147">
        <f t="shared" si="5"/>
        <v>0</v>
      </c>
      <c r="M86" s="135">
        <f>IF(H86&lt;=NoEchMaxi,ROUND(L86*R86,NbDeci),0)</f>
        <v>0</v>
      </c>
      <c r="N86" s="134">
        <f>IF(OR(H86&lt;=Différé,H86&gt;NoEchMaxi),IF(DiffTotal,-M86,0),IF(H86&gt;=NoEchRemb,L86,IF(S86-(M86*EchFIXE)&gt;L86-2,L86,S86-(M86*EchFIXE))))+C86</f>
        <v>0</v>
      </c>
      <c r="O86" s="136">
        <f>IF(OR(L86=0,H86&gt;NoEchMaxi),0,ROUND(FraisF+FraisV*L86,NbDeci))+F86</f>
        <v>0</v>
      </c>
      <c r="P86" s="148">
        <f t="shared" si="3"/>
        <v>0</v>
      </c>
      <c r="Q86" s="1"/>
      <c r="R86" s="138">
        <f>IF(B86&gt;0,IF(TauxActuariel,((B86+1)^(1/NbEchAn))-1,B86/NbEchAn),R85)</f>
        <v>0.04</v>
      </c>
      <c r="S86" s="139">
        <f>IF(E86&gt;0,E86,IF(D86&gt;0,IF(AND(EchFIXE,R86&gt;0),ROUND((L86-C86)*R86/(1-((1+R86)^-D86)),NbDeci),ROUND(L86/D86,NbDeci)),S85))</f>
        <v>6664</v>
      </c>
      <c r="T86" s="1"/>
      <c r="U86" s="1"/>
      <c r="V86" s="1"/>
      <c r="W86" s="1"/>
      <c r="X86" s="1"/>
      <c r="Y86" s="1"/>
      <c r="Z86" s="1"/>
      <c r="AA86" s="1"/>
    </row>
    <row r="87" ht="12.75" customHeight="1">
      <c r="A87" s="1"/>
      <c r="B87" s="140"/>
      <c r="C87" s="141"/>
      <c r="D87" s="142"/>
      <c r="E87" s="143"/>
      <c r="F87" s="144"/>
      <c r="G87" s="1"/>
      <c r="H87" s="131" t="str">
        <f t="shared" si="4"/>
        <v/>
      </c>
      <c r="I87" s="132" t="str">
        <f>IF(L87&gt;0,NbEch+Différé+1-H87,"")</f>
        <v/>
      </c>
      <c r="J87" s="145" t="str">
        <f t="shared" si="2"/>
        <v/>
      </c>
      <c r="K87" s="146" t="str">
        <f>IF(L87=0,"",IF(Ijour=0,MIN(DATE(YEAR(DebAmort),MONTH(DebAmort)+(H87-1)*Imois,Jour1),DATE(YEAR(DebAmort),MONTH(DebAmort)+1+(H87-1)*Imois,0)),DATE(YEAR(DebAmort),MONTH(DebAmort),Jour1+(H87-1)*Ijour)))</f>
        <v/>
      </c>
      <c r="L87" s="147">
        <f t="shared" si="5"/>
        <v>0</v>
      </c>
      <c r="M87" s="135">
        <f>IF(H87&lt;=NoEchMaxi,ROUND(L87*R87,NbDeci),0)</f>
        <v>0</v>
      </c>
      <c r="N87" s="134">
        <f>IF(OR(H87&lt;=Différé,H87&gt;NoEchMaxi),IF(DiffTotal,-M87,0),IF(H87&gt;=NoEchRemb,L87,IF(S87-(M87*EchFIXE)&gt;L87-2,L87,S87-(M87*EchFIXE))))+C87</f>
        <v>0</v>
      </c>
      <c r="O87" s="136">
        <f>IF(OR(L87=0,H87&gt;NoEchMaxi),0,ROUND(FraisF+FraisV*L87,NbDeci))+F87</f>
        <v>0</v>
      </c>
      <c r="P87" s="148">
        <f t="shared" si="3"/>
        <v>0</v>
      </c>
      <c r="Q87" s="1"/>
      <c r="R87" s="138">
        <f>IF(B87&gt;0,IF(TauxActuariel,((B87+1)^(1/NbEchAn))-1,B87/NbEchAn),R86)</f>
        <v>0.04</v>
      </c>
      <c r="S87" s="139">
        <f>IF(E87&gt;0,E87,IF(D87&gt;0,IF(AND(EchFIXE,R87&gt;0),ROUND((L87-C87)*R87/(1-((1+R87)^-D87)),NbDeci),ROUND(L87/D87,NbDeci)),S86))</f>
        <v>6664</v>
      </c>
      <c r="T87" s="1"/>
      <c r="U87" s="1"/>
      <c r="V87" s="1"/>
      <c r="W87" s="1"/>
      <c r="X87" s="1"/>
      <c r="Y87" s="1"/>
      <c r="Z87" s="1"/>
      <c r="AA87" s="1"/>
    </row>
    <row r="88" ht="12.75" customHeight="1">
      <c r="A88" s="1"/>
      <c r="B88" s="140"/>
      <c r="C88" s="141"/>
      <c r="D88" s="142"/>
      <c r="E88" s="143"/>
      <c r="F88" s="144"/>
      <c r="G88" s="1"/>
      <c r="H88" s="131" t="str">
        <f t="shared" si="4"/>
        <v/>
      </c>
      <c r="I88" s="132" t="str">
        <f>IF(L88&gt;0,NbEch+Différé+1-H88,"")</f>
        <v/>
      </c>
      <c r="J88" s="145" t="str">
        <f t="shared" si="2"/>
        <v/>
      </c>
      <c r="K88" s="146" t="str">
        <f>IF(L88=0,"",IF(Ijour=0,MIN(DATE(YEAR(DebAmort),MONTH(DebAmort)+MoisD+(H88-1)*Imois,Jour2),DATE(YEAR(DebAmort),MONTH(DebAmort)+MoisD+1+(H88-1)*Imois,0)),DATE(YEAR(DebAmort),MONTH(DebAmort),Jour1+(H88-1)*Ijour)))</f>
        <v/>
      </c>
      <c r="L88" s="147">
        <f t="shared" si="5"/>
        <v>0</v>
      </c>
      <c r="M88" s="135">
        <f>IF(H88&lt;=NoEchMaxi,ROUND(L88*R88,NbDeci),0)</f>
        <v>0</v>
      </c>
      <c r="N88" s="134">
        <f>IF(OR(H88&lt;=Différé,H88&gt;NoEchMaxi),IF(DiffTotal,-M88,0),IF(H88&gt;=NoEchRemb,L88,IF(S88-(M88*EchFIXE)&gt;L88-2,L88,S88-(M88*EchFIXE))))+C88</f>
        <v>0</v>
      </c>
      <c r="O88" s="136">
        <f>IF(OR(L88=0,H88&gt;NoEchMaxi),0,ROUND(FraisF+FraisV*L88,NbDeci))+F88</f>
        <v>0</v>
      </c>
      <c r="P88" s="148">
        <f t="shared" si="3"/>
        <v>0</v>
      </c>
      <c r="Q88" s="1"/>
      <c r="R88" s="138">
        <f>IF(B88&gt;0,IF(TauxActuariel,((B88+1)^(1/NbEchAn))-1,B88/NbEchAn),R87)</f>
        <v>0.04</v>
      </c>
      <c r="S88" s="139">
        <f>IF(E88&gt;0,E88,IF(D88&gt;0,IF(AND(EchFIXE,R88&gt;0),ROUND((L88-C88)*R88/(1-((1+R88)^-D88)),NbDeci),ROUND(L88/D88,NbDeci)),S87))</f>
        <v>6664</v>
      </c>
      <c r="T88" s="1"/>
      <c r="U88" s="1"/>
      <c r="V88" s="1"/>
      <c r="W88" s="1"/>
      <c r="X88" s="1"/>
      <c r="Y88" s="1"/>
      <c r="Z88" s="1"/>
      <c r="AA88" s="1"/>
    </row>
    <row r="89" ht="12.75" customHeight="1">
      <c r="A89" s="1"/>
      <c r="B89" s="140"/>
      <c r="C89" s="141"/>
      <c r="D89" s="142"/>
      <c r="E89" s="143"/>
      <c r="F89" s="144"/>
      <c r="G89" s="1"/>
      <c r="H89" s="131" t="str">
        <f t="shared" si="4"/>
        <v/>
      </c>
      <c r="I89" s="132" t="str">
        <f>IF(L89&gt;0,NbEch+Différé+1-H89,"")</f>
        <v/>
      </c>
      <c r="J89" s="145" t="str">
        <f t="shared" si="2"/>
        <v/>
      </c>
      <c r="K89" s="146" t="str">
        <f>IF(L89=0,"",IF(Ijour=0,MIN(DATE(YEAR(DebAmort),MONTH(DebAmort)+(H89-1)*Imois,Jour1),DATE(YEAR(DebAmort),MONTH(DebAmort)+1+(H89-1)*Imois,0)),DATE(YEAR(DebAmort),MONTH(DebAmort),Jour1+(H89-1)*Ijour)))</f>
        <v/>
      </c>
      <c r="L89" s="147">
        <f t="shared" si="5"/>
        <v>0</v>
      </c>
      <c r="M89" s="135">
        <f>IF(H89&lt;=NoEchMaxi,ROUND(L89*R89,NbDeci),0)</f>
        <v>0</v>
      </c>
      <c r="N89" s="134">
        <f>IF(OR(H89&lt;=Différé,H89&gt;NoEchMaxi),IF(DiffTotal,-M89,0),IF(H89&gt;=NoEchRemb,L89,IF(S89-(M89*EchFIXE)&gt;L89-2,L89,S89-(M89*EchFIXE))))+C89</f>
        <v>0</v>
      </c>
      <c r="O89" s="136">
        <f>IF(OR(L89=0,H89&gt;NoEchMaxi),0,ROUND(FraisF+FraisV*L89,NbDeci))+F89</f>
        <v>0</v>
      </c>
      <c r="P89" s="148">
        <f t="shared" si="3"/>
        <v>0</v>
      </c>
      <c r="Q89" s="1"/>
      <c r="R89" s="138">
        <f>IF(B89&gt;0,IF(TauxActuariel,((B89+1)^(1/NbEchAn))-1,B89/NbEchAn),R88)</f>
        <v>0.04</v>
      </c>
      <c r="S89" s="139">
        <f>IF(E89&gt;0,E89,IF(D89&gt;0,IF(AND(EchFIXE,R89&gt;0),ROUND((L89-C89)*R89/(1-((1+R89)^-D89)),NbDeci),ROUND(L89/D89,NbDeci)),S88))</f>
        <v>6664</v>
      </c>
      <c r="T89" s="1"/>
      <c r="U89" s="1"/>
      <c r="V89" s="1"/>
      <c r="W89" s="1"/>
      <c r="X89" s="1"/>
      <c r="Y89" s="1"/>
      <c r="Z89" s="1"/>
      <c r="AA89" s="1"/>
    </row>
    <row r="90" ht="12.75" customHeight="1">
      <c r="A90" s="1"/>
      <c r="B90" s="140"/>
      <c r="C90" s="141"/>
      <c r="D90" s="142"/>
      <c r="E90" s="143"/>
      <c r="F90" s="144"/>
      <c r="G90" s="1"/>
      <c r="H90" s="131" t="str">
        <f t="shared" si="4"/>
        <v/>
      </c>
      <c r="I90" s="132" t="str">
        <f>IF(L90&gt;0,NbEch+Différé+1-H90,"")</f>
        <v/>
      </c>
      <c r="J90" s="145" t="str">
        <f t="shared" si="2"/>
        <v/>
      </c>
      <c r="K90" s="146" t="str">
        <f>IF(L90=0,"",IF(Ijour=0,MIN(DATE(YEAR(DebAmort),MONTH(DebAmort)+MoisD+(H90-1)*Imois,Jour2),DATE(YEAR(DebAmort),MONTH(DebAmort)+MoisD+1+(H90-1)*Imois,0)),DATE(YEAR(DebAmort),MONTH(DebAmort),Jour1+(H90-1)*Ijour)))</f>
        <v/>
      </c>
      <c r="L90" s="147">
        <f t="shared" si="5"/>
        <v>0</v>
      </c>
      <c r="M90" s="135">
        <f>IF(H90&lt;=NoEchMaxi,ROUND(L90*R90,NbDeci),0)</f>
        <v>0</v>
      </c>
      <c r="N90" s="134">
        <f>IF(OR(H90&lt;=Différé,H90&gt;NoEchMaxi),IF(DiffTotal,-M90,0),IF(H90&gt;=NoEchRemb,L90,IF(S90-(M90*EchFIXE)&gt;L90-2,L90,S90-(M90*EchFIXE))))+C90</f>
        <v>0</v>
      </c>
      <c r="O90" s="136">
        <f>IF(OR(L90=0,H90&gt;NoEchMaxi),0,ROUND(FraisF+FraisV*L90,NbDeci))+F90</f>
        <v>0</v>
      </c>
      <c r="P90" s="148">
        <f t="shared" si="3"/>
        <v>0</v>
      </c>
      <c r="Q90" s="1"/>
      <c r="R90" s="138">
        <f>IF(B90&gt;0,IF(TauxActuariel,((B90+1)^(1/NbEchAn))-1,B90/NbEchAn),R89)</f>
        <v>0.04</v>
      </c>
      <c r="S90" s="139">
        <f>IF(E90&gt;0,E90,IF(D90&gt;0,IF(AND(EchFIXE,R90&gt;0),ROUND((L90-C90)*R90/(1-((1+R90)^-D90)),NbDeci),ROUND(L90/D90,NbDeci)),S89))</f>
        <v>6664</v>
      </c>
      <c r="T90" s="1"/>
      <c r="U90" s="1"/>
      <c r="V90" s="1"/>
      <c r="W90" s="1"/>
      <c r="X90" s="1"/>
      <c r="Y90" s="1"/>
      <c r="Z90" s="1"/>
      <c r="AA90" s="1"/>
    </row>
    <row r="91" ht="12.75" customHeight="1">
      <c r="A91" s="1"/>
      <c r="B91" s="140"/>
      <c r="C91" s="141"/>
      <c r="D91" s="142"/>
      <c r="E91" s="143"/>
      <c r="F91" s="144"/>
      <c r="G91" s="1"/>
      <c r="H91" s="131" t="str">
        <f t="shared" si="4"/>
        <v/>
      </c>
      <c r="I91" s="132" t="str">
        <f>IF(L91&gt;0,NbEch+Différé+1-H91,"")</f>
        <v/>
      </c>
      <c r="J91" s="145" t="str">
        <f t="shared" si="2"/>
        <v/>
      </c>
      <c r="K91" s="146" t="str">
        <f>IF(L91=0,"",IF(Ijour=0,MIN(DATE(YEAR(DebAmort),MONTH(DebAmort)+(H91-1)*Imois,Jour1),DATE(YEAR(DebAmort),MONTH(DebAmort)+1+(H91-1)*Imois,0)),DATE(YEAR(DebAmort),MONTH(DebAmort),Jour1+(H91-1)*Ijour)))</f>
        <v/>
      </c>
      <c r="L91" s="147">
        <f t="shared" si="5"/>
        <v>0</v>
      </c>
      <c r="M91" s="135">
        <f>IF(H91&lt;=NoEchMaxi,ROUND(L91*R91,NbDeci),0)</f>
        <v>0</v>
      </c>
      <c r="N91" s="134">
        <f>IF(OR(H91&lt;=Différé,H91&gt;NoEchMaxi),IF(DiffTotal,-M91,0),IF(H91&gt;=NoEchRemb,L91,IF(S91-(M91*EchFIXE)&gt;L91-2,L91,S91-(M91*EchFIXE))))+C91</f>
        <v>0</v>
      </c>
      <c r="O91" s="136">
        <f>IF(OR(L91=0,H91&gt;NoEchMaxi),0,ROUND(FraisF+FraisV*L91,NbDeci))+F91</f>
        <v>0</v>
      </c>
      <c r="P91" s="148">
        <f t="shared" si="3"/>
        <v>0</v>
      </c>
      <c r="Q91" s="1"/>
      <c r="R91" s="138">
        <f>IF(B91&gt;0,IF(TauxActuariel,((B91+1)^(1/NbEchAn))-1,B91/NbEchAn),R90)</f>
        <v>0.04</v>
      </c>
      <c r="S91" s="139">
        <f>IF(E91&gt;0,E91,IF(D91&gt;0,IF(AND(EchFIXE,R91&gt;0),ROUND((L91-C91)*R91/(1-((1+R91)^-D91)),NbDeci),ROUND(L91/D91,NbDeci)),S90))</f>
        <v>6664</v>
      </c>
      <c r="T91" s="1"/>
      <c r="U91" s="1"/>
      <c r="V91" s="1"/>
      <c r="W91" s="1"/>
      <c r="X91" s="1"/>
      <c r="Y91" s="1"/>
      <c r="Z91" s="1"/>
      <c r="AA91" s="1"/>
    </row>
    <row r="92" ht="12.75" customHeight="1">
      <c r="A92" s="1"/>
      <c r="B92" s="140"/>
      <c r="C92" s="141"/>
      <c r="D92" s="142"/>
      <c r="E92" s="143"/>
      <c r="F92" s="144"/>
      <c r="G92" s="1"/>
      <c r="H92" s="131" t="str">
        <f t="shared" si="4"/>
        <v/>
      </c>
      <c r="I92" s="132" t="str">
        <f>IF(L92&gt;0,NbEch+Différé+1-H92,"")</f>
        <v/>
      </c>
      <c r="J92" s="145" t="str">
        <f t="shared" si="2"/>
        <v/>
      </c>
      <c r="K92" s="146" t="str">
        <f>IF(L92=0,"",IF(Ijour=0,MIN(DATE(YEAR(DebAmort),MONTH(DebAmort)+MoisD+(H92-1)*Imois,Jour2),DATE(YEAR(DebAmort),MONTH(DebAmort)+MoisD+1+(H92-1)*Imois,0)),DATE(YEAR(DebAmort),MONTH(DebAmort),Jour1+(H92-1)*Ijour)))</f>
        <v/>
      </c>
      <c r="L92" s="147">
        <f t="shared" si="5"/>
        <v>0</v>
      </c>
      <c r="M92" s="135">
        <f>IF(H92&lt;=NoEchMaxi,ROUND(L92*R92,NbDeci),0)</f>
        <v>0</v>
      </c>
      <c r="N92" s="134">
        <f>IF(OR(H92&lt;=Différé,H92&gt;NoEchMaxi),IF(DiffTotal,-M92,0),IF(H92&gt;=NoEchRemb,L92,IF(S92-(M92*EchFIXE)&gt;L92-2,L92,S92-(M92*EchFIXE))))+C92</f>
        <v>0</v>
      </c>
      <c r="O92" s="136">
        <f>IF(OR(L92=0,H92&gt;NoEchMaxi),0,ROUND(FraisF+FraisV*L92,NbDeci))+F92</f>
        <v>0</v>
      </c>
      <c r="P92" s="148">
        <f t="shared" si="3"/>
        <v>0</v>
      </c>
      <c r="Q92" s="1"/>
      <c r="R92" s="138">
        <f>IF(B92&gt;0,IF(TauxActuariel,((B92+1)^(1/NbEchAn))-1,B92/NbEchAn),R91)</f>
        <v>0.04</v>
      </c>
      <c r="S92" s="139">
        <f>IF(E92&gt;0,E92,IF(D92&gt;0,IF(AND(EchFIXE,R92&gt;0),ROUND((L92-C92)*R92/(1-((1+R92)^-D92)),NbDeci),ROUND(L92/D92,NbDeci)),S91))</f>
        <v>6664</v>
      </c>
      <c r="T92" s="1"/>
      <c r="U92" s="1"/>
      <c r="V92" s="1"/>
      <c r="W92" s="1"/>
      <c r="X92" s="1"/>
      <c r="Y92" s="1"/>
      <c r="Z92" s="1"/>
      <c r="AA92" s="1"/>
    </row>
    <row r="93" ht="12.75" customHeight="1">
      <c r="A93" s="1"/>
      <c r="B93" s="140"/>
      <c r="C93" s="141"/>
      <c r="D93" s="142"/>
      <c r="E93" s="143"/>
      <c r="F93" s="144"/>
      <c r="G93" s="1"/>
      <c r="H93" s="131" t="str">
        <f t="shared" si="4"/>
        <v/>
      </c>
      <c r="I93" s="132" t="str">
        <f>IF(L93&gt;0,NbEch+Différé+1-H93,"")</f>
        <v/>
      </c>
      <c r="J93" s="145" t="str">
        <f t="shared" si="2"/>
        <v/>
      </c>
      <c r="K93" s="146" t="str">
        <f>IF(L93=0,"",IF(Ijour=0,MIN(DATE(YEAR(DebAmort),MONTH(DebAmort)+(H93-1)*Imois,Jour1),DATE(YEAR(DebAmort),MONTH(DebAmort)+1+(H93-1)*Imois,0)),DATE(YEAR(DebAmort),MONTH(DebAmort),Jour1+(H93-1)*Ijour)))</f>
        <v/>
      </c>
      <c r="L93" s="147">
        <f t="shared" si="5"/>
        <v>0</v>
      </c>
      <c r="M93" s="135">
        <f>IF(H93&lt;=NoEchMaxi,ROUND(L93*R93,NbDeci),0)</f>
        <v>0</v>
      </c>
      <c r="N93" s="134">
        <f>IF(OR(H93&lt;=Différé,H93&gt;NoEchMaxi),IF(DiffTotal,-M93,0),IF(H93&gt;=NoEchRemb,L93,IF(S93-(M93*EchFIXE)&gt;L93-2,L93,S93-(M93*EchFIXE))))+C93</f>
        <v>0</v>
      </c>
      <c r="O93" s="136">
        <f>IF(OR(L93=0,H93&gt;NoEchMaxi),0,ROUND(FraisF+FraisV*L93,NbDeci))+F93</f>
        <v>0</v>
      </c>
      <c r="P93" s="148">
        <f t="shared" si="3"/>
        <v>0</v>
      </c>
      <c r="Q93" s="1"/>
      <c r="R93" s="138">
        <f>IF(B93&gt;0,IF(TauxActuariel,((B93+1)^(1/NbEchAn))-1,B93/NbEchAn),R92)</f>
        <v>0.04</v>
      </c>
      <c r="S93" s="139">
        <f>IF(E93&gt;0,E93,IF(D93&gt;0,IF(AND(EchFIXE,R93&gt;0),ROUND((L93-C93)*R93/(1-((1+R93)^-D93)),NbDeci),ROUND(L93/D93,NbDeci)),S92))</f>
        <v>6664</v>
      </c>
      <c r="T93" s="1"/>
      <c r="U93" s="1"/>
      <c r="V93" s="1"/>
      <c r="W93" s="1"/>
      <c r="X93" s="1"/>
      <c r="Y93" s="1"/>
      <c r="Z93" s="1"/>
      <c r="AA93" s="1"/>
    </row>
    <row r="94" ht="12.75" customHeight="1">
      <c r="A94" s="1"/>
      <c r="B94" s="140"/>
      <c r="C94" s="141"/>
      <c r="D94" s="142"/>
      <c r="E94" s="143"/>
      <c r="F94" s="144"/>
      <c r="G94" s="1"/>
      <c r="H94" s="131" t="str">
        <f t="shared" si="4"/>
        <v/>
      </c>
      <c r="I94" s="132" t="str">
        <f>IF(L94&gt;0,NbEch+Différé+1-H94,"")</f>
        <v/>
      </c>
      <c r="J94" s="145" t="str">
        <f t="shared" si="2"/>
        <v/>
      </c>
      <c r="K94" s="146" t="str">
        <f>IF(L94=0,"",IF(Ijour=0,MIN(DATE(YEAR(DebAmort),MONTH(DebAmort)+MoisD+(H94-1)*Imois,Jour2),DATE(YEAR(DebAmort),MONTH(DebAmort)+MoisD+1+(H94-1)*Imois,0)),DATE(YEAR(DebAmort),MONTH(DebAmort),Jour1+(H94-1)*Ijour)))</f>
        <v/>
      </c>
      <c r="L94" s="147">
        <f t="shared" si="5"/>
        <v>0</v>
      </c>
      <c r="M94" s="135">
        <f>IF(H94&lt;=NoEchMaxi,ROUND(L94*R94,NbDeci),0)</f>
        <v>0</v>
      </c>
      <c r="N94" s="134">
        <f>IF(OR(H94&lt;=Différé,H94&gt;NoEchMaxi),IF(DiffTotal,-M94,0),IF(H94&gt;=NoEchRemb,L94,IF(S94-(M94*EchFIXE)&gt;L94-2,L94,S94-(M94*EchFIXE))))+C94</f>
        <v>0</v>
      </c>
      <c r="O94" s="136">
        <f>IF(OR(L94=0,H94&gt;NoEchMaxi),0,ROUND(FraisF+FraisV*L94,NbDeci))+F94</f>
        <v>0</v>
      </c>
      <c r="P94" s="148">
        <f t="shared" si="3"/>
        <v>0</v>
      </c>
      <c r="Q94" s="1"/>
      <c r="R94" s="138">
        <f>IF(B94&gt;0,IF(TauxActuariel,((B94+1)^(1/NbEchAn))-1,B94/NbEchAn),R93)</f>
        <v>0.04</v>
      </c>
      <c r="S94" s="139">
        <f>IF(E94&gt;0,E94,IF(D94&gt;0,IF(AND(EchFIXE,R94&gt;0),ROUND((L94-C94)*R94/(1-((1+R94)^-D94)),NbDeci),ROUND(L94/D94,NbDeci)),S93))</f>
        <v>6664</v>
      </c>
      <c r="T94" s="1"/>
      <c r="U94" s="1"/>
      <c r="V94" s="1"/>
      <c r="W94" s="1"/>
      <c r="X94" s="1"/>
      <c r="Y94" s="1"/>
      <c r="Z94" s="1"/>
      <c r="AA94" s="1"/>
    </row>
    <row r="95" ht="12.75" customHeight="1">
      <c r="A95" s="1"/>
      <c r="B95" s="140"/>
      <c r="C95" s="141"/>
      <c r="D95" s="142"/>
      <c r="E95" s="143"/>
      <c r="F95" s="144"/>
      <c r="G95" s="1"/>
      <c r="H95" s="131" t="str">
        <f t="shared" si="4"/>
        <v/>
      </c>
      <c r="I95" s="132" t="str">
        <f>IF(L95&gt;0,NbEch+Différé+1-H95,"")</f>
        <v/>
      </c>
      <c r="J95" s="145" t="str">
        <f t="shared" si="2"/>
        <v/>
      </c>
      <c r="K95" s="146" t="str">
        <f>IF(L95=0,"",IF(Ijour=0,MIN(DATE(YEAR(DebAmort),MONTH(DebAmort)+(H95-1)*Imois,Jour1),DATE(YEAR(DebAmort),MONTH(DebAmort)+1+(H95-1)*Imois,0)),DATE(YEAR(DebAmort),MONTH(DebAmort),Jour1+(H95-1)*Ijour)))</f>
        <v/>
      </c>
      <c r="L95" s="147">
        <f t="shared" si="5"/>
        <v>0</v>
      </c>
      <c r="M95" s="135">
        <f>IF(H95&lt;=NoEchMaxi,ROUND(L95*R95,NbDeci),0)</f>
        <v>0</v>
      </c>
      <c r="N95" s="134">
        <f>IF(OR(H95&lt;=Différé,H95&gt;NoEchMaxi),IF(DiffTotal,-M95,0),IF(H95&gt;=NoEchRemb,L95,IF(S95-(M95*EchFIXE)&gt;L95-2,L95,S95-(M95*EchFIXE))))+C95</f>
        <v>0</v>
      </c>
      <c r="O95" s="136">
        <f>IF(OR(L95=0,H95&gt;NoEchMaxi),0,ROUND(FraisF+FraisV*L95,NbDeci))+F95</f>
        <v>0</v>
      </c>
      <c r="P95" s="148">
        <f t="shared" si="3"/>
        <v>0</v>
      </c>
      <c r="Q95" s="1"/>
      <c r="R95" s="138">
        <f>IF(B95&gt;0,IF(TauxActuariel,((B95+1)^(1/NbEchAn))-1,B95/NbEchAn),R94)</f>
        <v>0.04</v>
      </c>
      <c r="S95" s="139">
        <f>IF(E95&gt;0,E95,IF(D95&gt;0,IF(AND(EchFIXE,R95&gt;0),ROUND((L95-C95)*R95/(1-((1+R95)^-D95)),NbDeci),ROUND(L95/D95,NbDeci)),S94))</f>
        <v>6664</v>
      </c>
      <c r="T95" s="1"/>
      <c r="U95" s="1"/>
      <c r="V95" s="1"/>
      <c r="W95" s="1"/>
      <c r="X95" s="1"/>
      <c r="Y95" s="1"/>
      <c r="Z95" s="1"/>
      <c r="AA95" s="1"/>
    </row>
    <row r="96" ht="12.75" customHeight="1">
      <c r="A96" s="1"/>
      <c r="B96" s="140"/>
      <c r="C96" s="141"/>
      <c r="D96" s="142"/>
      <c r="E96" s="143"/>
      <c r="F96" s="144"/>
      <c r="G96" s="1"/>
      <c r="H96" s="131" t="str">
        <f t="shared" si="4"/>
        <v/>
      </c>
      <c r="I96" s="132" t="str">
        <f>IF(L96&gt;0,NbEch+Différé+1-H96,"")</f>
        <v/>
      </c>
      <c r="J96" s="145" t="str">
        <f t="shared" si="2"/>
        <v/>
      </c>
      <c r="K96" s="146" t="str">
        <f>IF(L96=0,"",IF(Ijour=0,MIN(DATE(YEAR(DebAmort),MONTH(DebAmort)+MoisD+(H96-1)*Imois,Jour2),DATE(YEAR(DebAmort),MONTH(DebAmort)+MoisD+1+(H96-1)*Imois,0)),DATE(YEAR(DebAmort),MONTH(DebAmort),Jour1+(H96-1)*Ijour)))</f>
        <v/>
      </c>
      <c r="L96" s="147">
        <f t="shared" si="5"/>
        <v>0</v>
      </c>
      <c r="M96" s="135">
        <f>IF(H96&lt;=NoEchMaxi,ROUND(L96*R96,NbDeci),0)</f>
        <v>0</v>
      </c>
      <c r="N96" s="134">
        <f>IF(OR(H96&lt;=Différé,H96&gt;NoEchMaxi),IF(DiffTotal,-M96,0),IF(H96&gt;=NoEchRemb,L96,IF(S96-(M96*EchFIXE)&gt;L96-2,L96,S96-(M96*EchFIXE))))+C96</f>
        <v>0</v>
      </c>
      <c r="O96" s="136">
        <f>IF(OR(L96=0,H96&gt;NoEchMaxi),0,ROUND(FraisF+FraisV*L96,NbDeci))+F96</f>
        <v>0</v>
      </c>
      <c r="P96" s="148">
        <f t="shared" si="3"/>
        <v>0</v>
      </c>
      <c r="Q96" s="1"/>
      <c r="R96" s="138">
        <f>IF(B96&gt;0,IF(TauxActuariel,((B96+1)^(1/NbEchAn))-1,B96/NbEchAn),R95)</f>
        <v>0.04</v>
      </c>
      <c r="S96" s="139">
        <f>IF(E96&gt;0,E96,IF(D96&gt;0,IF(AND(EchFIXE,R96&gt;0),ROUND((L96-C96)*R96/(1-((1+R96)^-D96)),NbDeci),ROUND(L96/D96,NbDeci)),S95))</f>
        <v>6664</v>
      </c>
      <c r="T96" s="1"/>
      <c r="U96" s="1"/>
      <c r="V96" s="1"/>
      <c r="W96" s="1"/>
      <c r="X96" s="1"/>
      <c r="Y96" s="1"/>
      <c r="Z96" s="1"/>
      <c r="AA96" s="1"/>
    </row>
    <row r="97" ht="12.75" customHeight="1">
      <c r="A97" s="1"/>
      <c r="B97" s="140"/>
      <c r="C97" s="141"/>
      <c r="D97" s="142"/>
      <c r="E97" s="143"/>
      <c r="F97" s="144"/>
      <c r="G97" s="1"/>
      <c r="H97" s="131" t="str">
        <f t="shared" si="4"/>
        <v/>
      </c>
      <c r="I97" s="132" t="str">
        <f>IF(L97&gt;0,NbEch+Différé+1-H97,"")</f>
        <v/>
      </c>
      <c r="J97" s="145" t="str">
        <f t="shared" si="2"/>
        <v/>
      </c>
      <c r="K97" s="146" t="str">
        <f>IF(L97=0,"",IF(Ijour=0,MIN(DATE(YEAR(DebAmort),MONTH(DebAmort)+(H97-1)*Imois,Jour1),DATE(YEAR(DebAmort),MONTH(DebAmort)+1+(H97-1)*Imois,0)),DATE(YEAR(DebAmort),MONTH(DebAmort),Jour1+(H97-1)*Ijour)))</f>
        <v/>
      </c>
      <c r="L97" s="147">
        <f t="shared" si="5"/>
        <v>0</v>
      </c>
      <c r="M97" s="135">
        <f>IF(H97&lt;=NoEchMaxi,ROUND(L97*R97,NbDeci),0)</f>
        <v>0</v>
      </c>
      <c r="N97" s="134">
        <f>IF(OR(H97&lt;=Différé,H97&gt;NoEchMaxi),IF(DiffTotal,-M97,0),IF(H97&gt;=NoEchRemb,L97,IF(S97-(M97*EchFIXE)&gt;L97-2,L97,S97-(M97*EchFIXE))))+C97</f>
        <v>0</v>
      </c>
      <c r="O97" s="136">
        <f>IF(OR(L97=0,H97&gt;NoEchMaxi),0,ROUND(FraisF+FraisV*L97,NbDeci))+F97</f>
        <v>0</v>
      </c>
      <c r="P97" s="148">
        <f t="shared" si="3"/>
        <v>0</v>
      </c>
      <c r="Q97" s="1"/>
      <c r="R97" s="138">
        <f>IF(B97&gt;0,IF(TauxActuariel,((B97+1)^(1/NbEchAn))-1,B97/NbEchAn),R96)</f>
        <v>0.04</v>
      </c>
      <c r="S97" s="139">
        <f>IF(E97&gt;0,E97,IF(D97&gt;0,IF(AND(EchFIXE,R97&gt;0),ROUND((L97-C97)*R97/(1-((1+R97)^-D97)),NbDeci),ROUND(L97/D97,NbDeci)),S96))</f>
        <v>6664</v>
      </c>
      <c r="T97" s="1"/>
      <c r="U97" s="1"/>
      <c r="V97" s="1"/>
      <c r="W97" s="1"/>
      <c r="X97" s="1"/>
      <c r="Y97" s="1"/>
      <c r="Z97" s="1"/>
      <c r="AA97" s="1"/>
    </row>
    <row r="98" ht="12.75" customHeight="1">
      <c r="A98" s="1"/>
      <c r="B98" s="140"/>
      <c r="C98" s="141"/>
      <c r="D98" s="142"/>
      <c r="E98" s="143"/>
      <c r="F98" s="144"/>
      <c r="G98" s="1"/>
      <c r="H98" s="131" t="str">
        <f t="shared" si="4"/>
        <v/>
      </c>
      <c r="I98" s="132" t="str">
        <f>IF(L98&gt;0,NbEch+Différé+1-H98,"")</f>
        <v/>
      </c>
      <c r="J98" s="145" t="str">
        <f t="shared" si="2"/>
        <v/>
      </c>
      <c r="K98" s="146" t="str">
        <f>IF(L98=0,"",IF(Ijour=0,MIN(DATE(YEAR(DebAmort),MONTH(DebAmort)+MoisD+(H98-1)*Imois,Jour2),DATE(YEAR(DebAmort),MONTH(DebAmort)+MoisD+1+(H98-1)*Imois,0)),DATE(YEAR(DebAmort),MONTH(DebAmort),Jour1+(H98-1)*Ijour)))</f>
        <v/>
      </c>
      <c r="L98" s="147">
        <f t="shared" si="5"/>
        <v>0</v>
      </c>
      <c r="M98" s="135">
        <f>IF(H98&lt;=NoEchMaxi,ROUND(L98*R98,NbDeci),0)</f>
        <v>0</v>
      </c>
      <c r="N98" s="134">
        <f>IF(OR(H98&lt;=Différé,H98&gt;NoEchMaxi),IF(DiffTotal,-M98,0),IF(H98&gt;=NoEchRemb,L98,IF(S98-(M98*EchFIXE)&gt;L98-2,L98,S98-(M98*EchFIXE))))+C98</f>
        <v>0</v>
      </c>
      <c r="O98" s="136">
        <f>IF(OR(L98=0,H98&gt;NoEchMaxi),0,ROUND(FraisF+FraisV*L98,NbDeci))+F98</f>
        <v>0</v>
      </c>
      <c r="P98" s="148">
        <f t="shared" si="3"/>
        <v>0</v>
      </c>
      <c r="Q98" s="1"/>
      <c r="R98" s="138">
        <f>IF(B98&gt;0,IF(TauxActuariel,((B98+1)^(1/NbEchAn))-1,B98/NbEchAn),R97)</f>
        <v>0.04</v>
      </c>
      <c r="S98" s="139">
        <f>IF(E98&gt;0,E98,IF(D98&gt;0,IF(AND(EchFIXE,R98&gt;0),ROUND((L98-C98)*R98/(1-((1+R98)^-D98)),NbDeci),ROUND(L98/D98,NbDeci)),S97))</f>
        <v>6664</v>
      </c>
      <c r="T98" s="1"/>
      <c r="U98" s="1"/>
      <c r="V98" s="1"/>
      <c r="W98" s="1"/>
      <c r="X98" s="1"/>
      <c r="Y98" s="1"/>
      <c r="Z98" s="1"/>
      <c r="AA98" s="1"/>
    </row>
    <row r="99" ht="12.75" customHeight="1">
      <c r="A99" s="1"/>
      <c r="B99" s="140"/>
      <c r="C99" s="141"/>
      <c r="D99" s="142"/>
      <c r="E99" s="143"/>
      <c r="F99" s="144"/>
      <c r="G99" s="1"/>
      <c r="H99" s="131" t="str">
        <f t="shared" si="4"/>
        <v/>
      </c>
      <c r="I99" s="132" t="str">
        <f>IF(L99&gt;0,NbEch+Différé+1-H99,"")</f>
        <v/>
      </c>
      <c r="J99" s="145" t="str">
        <f t="shared" si="2"/>
        <v/>
      </c>
      <c r="K99" s="146" t="str">
        <f>IF(L99=0,"",IF(Ijour=0,MIN(DATE(YEAR(DebAmort),MONTH(DebAmort)+(H99-1)*Imois,Jour1),DATE(YEAR(DebAmort),MONTH(DebAmort)+1+(H99-1)*Imois,0)),DATE(YEAR(DebAmort),MONTH(DebAmort),Jour1+(H99-1)*Ijour)))</f>
        <v/>
      </c>
      <c r="L99" s="147">
        <f t="shared" si="5"/>
        <v>0</v>
      </c>
      <c r="M99" s="135">
        <f>IF(H99&lt;=NoEchMaxi,ROUND(L99*R99,NbDeci),0)</f>
        <v>0</v>
      </c>
      <c r="N99" s="134">
        <f>IF(OR(H99&lt;=Différé,H99&gt;NoEchMaxi),IF(DiffTotal,-M99,0),IF(H99&gt;=NoEchRemb,L99,IF(S99-(M99*EchFIXE)&gt;L99-2,L99,S99-(M99*EchFIXE))))+C99</f>
        <v>0</v>
      </c>
      <c r="O99" s="136">
        <f>IF(OR(L99=0,H99&gt;NoEchMaxi),0,ROUND(FraisF+FraisV*L99,NbDeci))+F99</f>
        <v>0</v>
      </c>
      <c r="P99" s="148">
        <f t="shared" si="3"/>
        <v>0</v>
      </c>
      <c r="Q99" s="1"/>
      <c r="R99" s="138">
        <f>IF(B99&gt;0,IF(TauxActuariel,((B99+1)^(1/NbEchAn))-1,B99/NbEchAn),R98)</f>
        <v>0.04</v>
      </c>
      <c r="S99" s="139">
        <f>IF(E99&gt;0,E99,IF(D99&gt;0,IF(AND(EchFIXE,R99&gt;0),ROUND((L99-C99)*R99/(1-((1+R99)^-D99)),NbDeci),ROUND(L99/D99,NbDeci)),S98))</f>
        <v>6664</v>
      </c>
      <c r="T99" s="1"/>
      <c r="U99" s="1"/>
      <c r="V99" s="1"/>
      <c r="W99" s="1"/>
      <c r="X99" s="1"/>
      <c r="Y99" s="1"/>
      <c r="Z99" s="1"/>
      <c r="AA99" s="1"/>
    </row>
    <row r="100" ht="12.75" customHeight="1">
      <c r="A100" s="1"/>
      <c r="B100" s="140"/>
      <c r="C100" s="141"/>
      <c r="D100" s="142"/>
      <c r="E100" s="143"/>
      <c r="F100" s="144"/>
      <c r="G100" s="1"/>
      <c r="H100" s="131" t="str">
        <f t="shared" si="4"/>
        <v/>
      </c>
      <c r="I100" s="132" t="str">
        <f>IF(L100&gt;0,NbEch+Différé+1-H100,"")</f>
        <v/>
      </c>
      <c r="J100" s="145" t="str">
        <f t="shared" si="2"/>
        <v/>
      </c>
      <c r="K100" s="146" t="str">
        <f>IF(L100=0,"",IF(Ijour=0,MIN(DATE(YEAR(DebAmort),MONTH(DebAmort)+MoisD+(H100-1)*Imois,Jour2),DATE(YEAR(DebAmort),MONTH(DebAmort)+MoisD+1+(H100-1)*Imois,0)),DATE(YEAR(DebAmort),MONTH(DebAmort),Jour1+(H100-1)*Ijour)))</f>
        <v/>
      </c>
      <c r="L100" s="147">
        <f t="shared" si="5"/>
        <v>0</v>
      </c>
      <c r="M100" s="135">
        <f>IF(H100&lt;=NoEchMaxi,ROUND(L100*R100,NbDeci),0)</f>
        <v>0</v>
      </c>
      <c r="N100" s="134">
        <f>IF(OR(H100&lt;=Différé,H100&gt;NoEchMaxi),IF(DiffTotal,-M100,0),IF(H100&gt;=NoEchRemb,L100,IF(S100-(M100*EchFIXE)&gt;L100-2,L100,S100-(M100*EchFIXE))))+C100</f>
        <v>0</v>
      </c>
      <c r="O100" s="136">
        <f>IF(OR(L100=0,H100&gt;NoEchMaxi),0,ROUND(FraisF+FraisV*L100,NbDeci))+F100</f>
        <v>0</v>
      </c>
      <c r="P100" s="148">
        <f t="shared" si="3"/>
        <v>0</v>
      </c>
      <c r="Q100" s="1"/>
      <c r="R100" s="138">
        <f>IF(B100&gt;0,IF(TauxActuariel,((B100+1)^(1/NbEchAn))-1,B100/NbEchAn),R99)</f>
        <v>0.04</v>
      </c>
      <c r="S100" s="139">
        <f>IF(E100&gt;0,E100,IF(D100&gt;0,IF(AND(EchFIXE,R100&gt;0),ROUND((L100-C100)*R100/(1-((1+R100)^-D100)),NbDeci),ROUND(L100/D100,NbDeci)),S99))</f>
        <v>6664</v>
      </c>
      <c r="T100" s="1"/>
      <c r="U100" s="1"/>
      <c r="V100" s="1"/>
      <c r="W100" s="1"/>
      <c r="X100" s="1"/>
      <c r="Y100" s="1"/>
      <c r="Z100" s="1"/>
      <c r="AA100" s="1"/>
    </row>
    <row r="101" ht="12.75" customHeight="1">
      <c r="A101" s="1"/>
      <c r="B101" s="140"/>
      <c r="C101" s="141"/>
      <c r="D101" s="142"/>
      <c r="E101" s="143"/>
      <c r="F101" s="144"/>
      <c r="G101" s="1"/>
      <c r="H101" s="131" t="str">
        <f t="shared" si="4"/>
        <v/>
      </c>
      <c r="I101" s="132" t="str">
        <f>IF(L101&gt;0,NbEch+Différé+1-H101,"")</f>
        <v/>
      </c>
      <c r="J101" s="145" t="str">
        <f t="shared" si="2"/>
        <v/>
      </c>
      <c r="K101" s="146" t="str">
        <f>IF(L101=0,"",IF(Ijour=0,MIN(DATE(YEAR(DebAmort),MONTH(DebAmort)+(H101-1)*Imois,Jour1),DATE(YEAR(DebAmort),MONTH(DebAmort)+1+(H101-1)*Imois,0)),DATE(YEAR(DebAmort),MONTH(DebAmort),Jour1+(H101-1)*Ijour)))</f>
        <v/>
      </c>
      <c r="L101" s="147">
        <f t="shared" si="5"/>
        <v>0</v>
      </c>
      <c r="M101" s="135">
        <f>IF(H101&lt;=NoEchMaxi,ROUND(L101*R101,NbDeci),0)</f>
        <v>0</v>
      </c>
      <c r="N101" s="134">
        <f>IF(OR(H101&lt;=Différé,H101&gt;NoEchMaxi),IF(DiffTotal,-M101,0),IF(H101&gt;=NoEchRemb,L101,IF(S101-(M101*EchFIXE)&gt;L101-2,L101,S101-(M101*EchFIXE))))+C101</f>
        <v>0</v>
      </c>
      <c r="O101" s="136">
        <f>IF(OR(L101=0,H101&gt;NoEchMaxi),0,ROUND(FraisF+FraisV*L101,NbDeci))+F101</f>
        <v>0</v>
      </c>
      <c r="P101" s="148">
        <f t="shared" si="3"/>
        <v>0</v>
      </c>
      <c r="Q101" s="1"/>
      <c r="R101" s="138">
        <f>IF(B101&gt;0,IF(TauxActuariel,((B101+1)^(1/NbEchAn))-1,B101/NbEchAn),R100)</f>
        <v>0.04</v>
      </c>
      <c r="S101" s="139">
        <f>IF(E101&gt;0,E101,IF(D101&gt;0,IF(AND(EchFIXE,R101&gt;0),ROUND((L101-C101)*R101/(1-((1+R101)^-D101)),NbDeci),ROUND(L101/D101,NbDeci)),S100))</f>
        <v>6664</v>
      </c>
      <c r="T101" s="1"/>
      <c r="U101" s="1"/>
      <c r="V101" s="1"/>
      <c r="W101" s="1"/>
      <c r="X101" s="1"/>
      <c r="Y101" s="1"/>
      <c r="Z101" s="1"/>
      <c r="AA101" s="1"/>
    </row>
    <row r="102" ht="12.75" customHeight="1">
      <c r="A102" s="1"/>
      <c r="B102" s="140"/>
      <c r="C102" s="141"/>
      <c r="D102" s="142"/>
      <c r="E102" s="143"/>
      <c r="F102" s="144"/>
      <c r="G102" s="1"/>
      <c r="H102" s="131" t="str">
        <f t="shared" si="4"/>
        <v/>
      </c>
      <c r="I102" s="132" t="str">
        <f>IF(L102&gt;0,NbEch+Différé+1-H102,"")</f>
        <v/>
      </c>
      <c r="J102" s="145" t="str">
        <f t="shared" si="2"/>
        <v/>
      </c>
      <c r="K102" s="146" t="str">
        <f>IF(L102=0,"",IF(Ijour=0,MIN(DATE(YEAR(DebAmort),MONTH(DebAmort)+MoisD+(H102-1)*Imois,Jour2),DATE(YEAR(DebAmort),MONTH(DebAmort)+MoisD+1+(H102-1)*Imois,0)),DATE(YEAR(DebAmort),MONTH(DebAmort),Jour1+(H102-1)*Ijour)))</f>
        <v/>
      </c>
      <c r="L102" s="147">
        <f t="shared" si="5"/>
        <v>0</v>
      </c>
      <c r="M102" s="135">
        <f>IF(H102&lt;=NoEchMaxi,ROUND(L102*R102,NbDeci),0)</f>
        <v>0</v>
      </c>
      <c r="N102" s="134">
        <f>IF(OR(H102&lt;=Différé,H102&gt;NoEchMaxi),IF(DiffTotal,-M102,0),IF(H102&gt;=NoEchRemb,L102,IF(S102-(M102*EchFIXE)&gt;L102-2,L102,S102-(M102*EchFIXE))))+C102</f>
        <v>0</v>
      </c>
      <c r="O102" s="136">
        <f>IF(OR(L102=0,H102&gt;NoEchMaxi),0,ROUND(FraisF+FraisV*L102,NbDeci))+F102</f>
        <v>0</v>
      </c>
      <c r="P102" s="148">
        <f t="shared" si="3"/>
        <v>0</v>
      </c>
      <c r="Q102" s="1"/>
      <c r="R102" s="138">
        <f>IF(B102&gt;0,IF(TauxActuariel,((B102+1)^(1/NbEchAn))-1,B102/NbEchAn),R101)</f>
        <v>0.04</v>
      </c>
      <c r="S102" s="139">
        <f>IF(E102&gt;0,E102,IF(D102&gt;0,IF(AND(EchFIXE,R102&gt;0),ROUND((L102-C102)*R102/(1-((1+R102)^-D102)),NbDeci),ROUND(L102/D102,NbDeci)),S101))</f>
        <v>6664</v>
      </c>
      <c r="T102" s="1"/>
      <c r="U102" s="1"/>
      <c r="V102" s="1"/>
      <c r="W102" s="1"/>
      <c r="X102" s="1"/>
      <c r="Y102" s="1"/>
      <c r="Z102" s="1"/>
      <c r="AA102" s="1"/>
    </row>
    <row r="103" ht="12.75" customHeight="1">
      <c r="A103" s="1"/>
      <c r="B103" s="140"/>
      <c r="C103" s="141"/>
      <c r="D103" s="142"/>
      <c r="E103" s="143"/>
      <c r="F103" s="144"/>
      <c r="G103" s="1"/>
      <c r="H103" s="131" t="str">
        <f t="shared" si="4"/>
        <v/>
      </c>
      <c r="I103" s="132" t="str">
        <f>IF(L103&gt;0,NbEch+Différé+1-H103,"")</f>
        <v/>
      </c>
      <c r="J103" s="145" t="str">
        <f t="shared" si="2"/>
        <v/>
      </c>
      <c r="K103" s="146" t="str">
        <f>IF(L103=0,"",IF(Ijour=0,MIN(DATE(YEAR(DebAmort),MONTH(DebAmort)+(H103-1)*Imois,Jour1),DATE(YEAR(DebAmort),MONTH(DebAmort)+1+(H103-1)*Imois,0)),DATE(YEAR(DebAmort),MONTH(DebAmort),Jour1+(H103-1)*Ijour)))</f>
        <v/>
      </c>
      <c r="L103" s="147">
        <f t="shared" si="5"/>
        <v>0</v>
      </c>
      <c r="M103" s="135">
        <f>IF(H103&lt;=NoEchMaxi,ROUND(L103*R103,NbDeci),0)</f>
        <v>0</v>
      </c>
      <c r="N103" s="134">
        <f>IF(OR(H103&lt;=Différé,H103&gt;NoEchMaxi),IF(DiffTotal,-M103,0),IF(H103&gt;=NoEchRemb,L103,IF(S103-(M103*EchFIXE)&gt;L103-2,L103,S103-(M103*EchFIXE))))+C103</f>
        <v>0</v>
      </c>
      <c r="O103" s="136">
        <f>IF(OR(L103=0,H103&gt;NoEchMaxi),0,ROUND(FraisF+FraisV*L103,NbDeci))+F103</f>
        <v>0</v>
      </c>
      <c r="P103" s="148">
        <f t="shared" si="3"/>
        <v>0</v>
      </c>
      <c r="Q103" s="1"/>
      <c r="R103" s="138">
        <f>IF(B103&gt;0,IF(TauxActuariel,((B103+1)^(1/NbEchAn))-1,B103/NbEchAn),R102)</f>
        <v>0.04</v>
      </c>
      <c r="S103" s="139">
        <f>IF(E103&gt;0,E103,IF(D103&gt;0,IF(AND(EchFIXE,R103&gt;0),ROUND((L103-C103)*R103/(1-((1+R103)^-D103)),NbDeci),ROUND(L103/D103,NbDeci)),S102))</f>
        <v>6664</v>
      </c>
      <c r="T103" s="1"/>
      <c r="U103" s="1"/>
      <c r="V103" s="1"/>
      <c r="W103" s="1"/>
      <c r="X103" s="1"/>
      <c r="Y103" s="1"/>
      <c r="Z103" s="1"/>
      <c r="AA103" s="1"/>
    </row>
    <row r="104" ht="12.75" customHeight="1">
      <c r="A104" s="1"/>
      <c r="B104" s="140"/>
      <c r="C104" s="141"/>
      <c r="D104" s="142"/>
      <c r="E104" s="143"/>
      <c r="F104" s="144"/>
      <c r="G104" s="1"/>
      <c r="H104" s="131" t="str">
        <f t="shared" si="4"/>
        <v/>
      </c>
      <c r="I104" s="132" t="str">
        <f>IF(L104&gt;0,NbEch+Différé+1-H104,"")</f>
        <v/>
      </c>
      <c r="J104" s="145" t="str">
        <f t="shared" si="2"/>
        <v/>
      </c>
      <c r="K104" s="146" t="str">
        <f>IF(L104=0,"",IF(Ijour=0,MIN(DATE(YEAR(DebAmort),MONTH(DebAmort)+MoisD+(H104-1)*Imois,Jour2),DATE(YEAR(DebAmort),MONTH(DebAmort)+MoisD+1+(H104-1)*Imois,0)),DATE(YEAR(DebAmort),MONTH(DebAmort),Jour1+(H104-1)*Ijour)))</f>
        <v/>
      </c>
      <c r="L104" s="147">
        <f t="shared" si="5"/>
        <v>0</v>
      </c>
      <c r="M104" s="135">
        <f>IF(H104&lt;=NoEchMaxi,ROUND(L104*R104,NbDeci),0)</f>
        <v>0</v>
      </c>
      <c r="N104" s="134">
        <f>IF(OR(H104&lt;=Différé,H104&gt;NoEchMaxi),IF(DiffTotal,-M104,0),IF(H104&gt;=NoEchRemb,L104,IF(S104-(M104*EchFIXE)&gt;L104-2,L104,S104-(M104*EchFIXE))))+C104</f>
        <v>0</v>
      </c>
      <c r="O104" s="136">
        <f>IF(OR(L104=0,H104&gt;NoEchMaxi),0,ROUND(FraisF+FraisV*L104,NbDeci))+F104</f>
        <v>0</v>
      </c>
      <c r="P104" s="148">
        <f t="shared" si="3"/>
        <v>0</v>
      </c>
      <c r="Q104" s="1"/>
      <c r="R104" s="138">
        <f>IF(B104&gt;0,IF(TauxActuariel,((B104+1)^(1/NbEchAn))-1,B104/NbEchAn),R103)</f>
        <v>0.04</v>
      </c>
      <c r="S104" s="139">
        <f>IF(E104&gt;0,E104,IF(D104&gt;0,IF(AND(EchFIXE,R104&gt;0),ROUND((L104-C104)*R104/(1-((1+R104)^-D104)),NbDeci),ROUND(L104/D104,NbDeci)),S103))</f>
        <v>6664</v>
      </c>
      <c r="T104" s="1"/>
      <c r="U104" s="1"/>
      <c r="V104" s="1"/>
      <c r="W104" s="1"/>
      <c r="X104" s="1"/>
      <c r="Y104" s="1"/>
      <c r="Z104" s="1"/>
      <c r="AA104" s="1"/>
    </row>
    <row r="105" ht="12.75" customHeight="1">
      <c r="A105" s="1"/>
      <c r="B105" s="140"/>
      <c r="C105" s="141"/>
      <c r="D105" s="142"/>
      <c r="E105" s="143"/>
      <c r="F105" s="144"/>
      <c r="G105" s="1"/>
      <c r="H105" s="131" t="str">
        <f t="shared" si="4"/>
        <v/>
      </c>
      <c r="I105" s="132" t="str">
        <f>IF(L105&gt;0,NbEch+Différé+1-H105,"")</f>
        <v/>
      </c>
      <c r="J105" s="145" t="str">
        <f t="shared" si="2"/>
        <v/>
      </c>
      <c r="K105" s="146" t="str">
        <f>IF(L105=0,"",IF(Ijour=0,MIN(DATE(YEAR(DebAmort),MONTH(DebAmort)+(H105-1)*Imois,Jour1),DATE(YEAR(DebAmort),MONTH(DebAmort)+1+(H105-1)*Imois,0)),DATE(YEAR(DebAmort),MONTH(DebAmort),Jour1+(H105-1)*Ijour)))</f>
        <v/>
      </c>
      <c r="L105" s="147">
        <f t="shared" si="5"/>
        <v>0</v>
      </c>
      <c r="M105" s="135">
        <f>IF(H105&lt;=NoEchMaxi,ROUND(L105*R105,NbDeci),0)</f>
        <v>0</v>
      </c>
      <c r="N105" s="134">
        <f>IF(OR(H105&lt;=Différé,H105&gt;NoEchMaxi),IF(DiffTotal,-M105,0),IF(H105&gt;=NoEchRemb,L105,IF(S105-(M105*EchFIXE)&gt;L105-2,L105,S105-(M105*EchFIXE))))+C105</f>
        <v>0</v>
      </c>
      <c r="O105" s="136">
        <f>IF(OR(L105=0,H105&gt;NoEchMaxi),0,ROUND(FraisF+FraisV*L105,NbDeci))+F105</f>
        <v>0</v>
      </c>
      <c r="P105" s="148">
        <f t="shared" si="3"/>
        <v>0</v>
      </c>
      <c r="Q105" s="1"/>
      <c r="R105" s="138">
        <f>IF(B105&gt;0,IF(TauxActuariel,((B105+1)^(1/NbEchAn))-1,B105/NbEchAn),R104)</f>
        <v>0.04</v>
      </c>
      <c r="S105" s="139">
        <f>IF(E105&gt;0,E105,IF(D105&gt;0,IF(AND(EchFIXE,R105&gt;0),ROUND((L105-C105)*R105/(1-((1+R105)^-D105)),NbDeci),ROUND(L105/D105,NbDeci)),S104))</f>
        <v>6664</v>
      </c>
      <c r="T105" s="1"/>
      <c r="U105" s="1"/>
      <c r="V105" s="1"/>
      <c r="W105" s="1"/>
      <c r="X105" s="1"/>
      <c r="Y105" s="1"/>
      <c r="Z105" s="1"/>
      <c r="AA105" s="1"/>
    </row>
    <row r="106" ht="12.75" customHeight="1">
      <c r="A106" s="1"/>
      <c r="B106" s="140"/>
      <c r="C106" s="141"/>
      <c r="D106" s="142"/>
      <c r="E106" s="143"/>
      <c r="F106" s="144"/>
      <c r="G106" s="1"/>
      <c r="H106" s="131" t="str">
        <f t="shared" si="4"/>
        <v/>
      </c>
      <c r="I106" s="132" t="str">
        <f>IF(L106&gt;0,NbEch+Différé+1-H106,"")</f>
        <v/>
      </c>
      <c r="J106" s="145" t="str">
        <f t="shared" si="2"/>
        <v/>
      </c>
      <c r="K106" s="146" t="str">
        <f>IF(L106=0,"",IF(Ijour=0,MIN(DATE(YEAR(DebAmort),MONTH(DebAmort)+MoisD+(H106-1)*Imois,Jour2),DATE(YEAR(DebAmort),MONTH(DebAmort)+MoisD+1+(H106-1)*Imois,0)),DATE(YEAR(DebAmort),MONTH(DebAmort),Jour1+(H106-1)*Ijour)))</f>
        <v/>
      </c>
      <c r="L106" s="147">
        <f t="shared" si="5"/>
        <v>0</v>
      </c>
      <c r="M106" s="135">
        <f>IF(H106&lt;=NoEchMaxi,ROUND(L106*R106,NbDeci),0)</f>
        <v>0</v>
      </c>
      <c r="N106" s="134">
        <f>IF(OR(H106&lt;=Différé,H106&gt;NoEchMaxi),IF(DiffTotal,-M106,0),IF(H106&gt;=NoEchRemb,L106,IF(S106-(M106*EchFIXE)&gt;L106-2,L106,S106-(M106*EchFIXE))))+C106</f>
        <v>0</v>
      </c>
      <c r="O106" s="136">
        <f>IF(OR(L106=0,H106&gt;NoEchMaxi),0,ROUND(FraisF+FraisV*L106,NbDeci))+F106</f>
        <v>0</v>
      </c>
      <c r="P106" s="148">
        <f t="shared" si="3"/>
        <v>0</v>
      </c>
      <c r="Q106" s="1"/>
      <c r="R106" s="138">
        <f>IF(B106&gt;0,IF(TauxActuariel,((B106+1)^(1/NbEchAn))-1,B106/NbEchAn),R105)</f>
        <v>0.04</v>
      </c>
      <c r="S106" s="139">
        <f>IF(E106&gt;0,E106,IF(D106&gt;0,IF(AND(EchFIXE,R106&gt;0),ROUND((L106-C106)*R106/(1-((1+R106)^-D106)),NbDeci),ROUND(L106/D106,NbDeci)),S105))</f>
        <v>6664</v>
      </c>
      <c r="T106" s="1"/>
      <c r="U106" s="1"/>
      <c r="V106" s="1"/>
      <c r="W106" s="1"/>
      <c r="X106" s="1"/>
      <c r="Y106" s="1"/>
      <c r="Z106" s="1"/>
      <c r="AA106" s="1"/>
    </row>
    <row r="107" ht="12.75" customHeight="1">
      <c r="A107" s="1"/>
      <c r="B107" s="140"/>
      <c r="C107" s="141"/>
      <c r="D107" s="142"/>
      <c r="E107" s="143"/>
      <c r="F107" s="144"/>
      <c r="G107" s="1"/>
      <c r="H107" s="131" t="str">
        <f t="shared" si="4"/>
        <v/>
      </c>
      <c r="I107" s="132" t="str">
        <f>IF(L107&gt;0,NbEch+Différé+1-H107,"")</f>
        <v/>
      </c>
      <c r="J107" s="145" t="str">
        <f t="shared" si="2"/>
        <v/>
      </c>
      <c r="K107" s="146" t="str">
        <f>IF(L107=0,"",IF(Ijour=0,MIN(DATE(YEAR(DebAmort),MONTH(DebAmort)+(H107-1)*Imois,Jour1),DATE(YEAR(DebAmort),MONTH(DebAmort)+1+(H107-1)*Imois,0)),DATE(YEAR(DebAmort),MONTH(DebAmort),Jour1+(H107-1)*Ijour)))</f>
        <v/>
      </c>
      <c r="L107" s="147">
        <f t="shared" si="5"/>
        <v>0</v>
      </c>
      <c r="M107" s="135">
        <f>IF(H107&lt;=NoEchMaxi,ROUND(L107*R107,NbDeci),0)</f>
        <v>0</v>
      </c>
      <c r="N107" s="134">
        <f>IF(OR(H107&lt;=Différé,H107&gt;NoEchMaxi),IF(DiffTotal,-M107,0),IF(H107&gt;=NoEchRemb,L107,IF(S107-(M107*EchFIXE)&gt;L107-2,L107,S107-(M107*EchFIXE))))+C107</f>
        <v>0</v>
      </c>
      <c r="O107" s="136">
        <f>IF(OR(L107=0,H107&gt;NoEchMaxi),0,ROUND(FraisF+FraisV*L107,NbDeci))+F107</f>
        <v>0</v>
      </c>
      <c r="P107" s="148">
        <f t="shared" si="3"/>
        <v>0</v>
      </c>
      <c r="Q107" s="1"/>
      <c r="R107" s="138">
        <f>IF(B107&gt;0,IF(TauxActuariel,((B107+1)^(1/NbEchAn))-1,B107/NbEchAn),R106)</f>
        <v>0.04</v>
      </c>
      <c r="S107" s="139">
        <f>IF(E107&gt;0,E107,IF(D107&gt;0,IF(AND(EchFIXE,R107&gt;0),ROUND((L107-C107)*R107/(1-((1+R107)^-D107)),NbDeci),ROUND(L107/D107,NbDeci)),S106))</f>
        <v>6664</v>
      </c>
      <c r="T107" s="1"/>
      <c r="U107" s="1"/>
      <c r="V107" s="1"/>
      <c r="W107" s="1"/>
      <c r="X107" s="1"/>
      <c r="Y107" s="1"/>
      <c r="Z107" s="1"/>
      <c r="AA107" s="1"/>
    </row>
    <row r="108" ht="12.75" customHeight="1">
      <c r="A108" s="1"/>
      <c r="B108" s="140"/>
      <c r="C108" s="141"/>
      <c r="D108" s="142"/>
      <c r="E108" s="143"/>
      <c r="F108" s="144"/>
      <c r="G108" s="1"/>
      <c r="H108" s="131" t="str">
        <f t="shared" si="4"/>
        <v/>
      </c>
      <c r="I108" s="132" t="str">
        <f>IF(L108&gt;0,NbEch+Différé+1-H108,"")</f>
        <v/>
      </c>
      <c r="J108" s="145" t="str">
        <f t="shared" si="2"/>
        <v/>
      </c>
      <c r="K108" s="146" t="str">
        <f>IF(L108=0,"",IF(Ijour=0,MIN(DATE(YEAR(DebAmort),MONTH(DebAmort)+MoisD+(H108-1)*Imois,Jour2),DATE(YEAR(DebAmort),MONTH(DebAmort)+MoisD+1+(H108-1)*Imois,0)),DATE(YEAR(DebAmort),MONTH(DebAmort),Jour1+(H108-1)*Ijour)))</f>
        <v/>
      </c>
      <c r="L108" s="147">
        <f t="shared" si="5"/>
        <v>0</v>
      </c>
      <c r="M108" s="135">
        <f>IF(H108&lt;=NoEchMaxi,ROUND(L108*R108,NbDeci),0)</f>
        <v>0</v>
      </c>
      <c r="N108" s="134">
        <f>IF(OR(H108&lt;=Différé,H108&gt;NoEchMaxi),IF(DiffTotal,-M108,0),IF(H108&gt;=NoEchRemb,L108,IF(S108-(M108*EchFIXE)&gt;L108-2,L108,S108-(M108*EchFIXE))))+C108</f>
        <v>0</v>
      </c>
      <c r="O108" s="136">
        <f>IF(OR(L108=0,H108&gt;NoEchMaxi),0,ROUND(FraisF+FraisV*L108,NbDeci))+F108</f>
        <v>0</v>
      </c>
      <c r="P108" s="148">
        <f t="shared" si="3"/>
        <v>0</v>
      </c>
      <c r="Q108" s="1"/>
      <c r="R108" s="138">
        <f>IF(B108&gt;0,IF(TauxActuariel,((B108+1)^(1/NbEchAn))-1,B108/NbEchAn),R107)</f>
        <v>0.04</v>
      </c>
      <c r="S108" s="139">
        <f>IF(E108&gt;0,E108,IF(D108&gt;0,IF(AND(EchFIXE,R108&gt;0),ROUND((L108-C108)*R108/(1-((1+R108)^-D108)),NbDeci),ROUND(L108/D108,NbDeci)),S107))</f>
        <v>6664</v>
      </c>
      <c r="T108" s="1"/>
      <c r="U108" s="1"/>
      <c r="V108" s="1"/>
      <c r="W108" s="1"/>
      <c r="X108" s="1"/>
      <c r="Y108" s="1"/>
      <c r="Z108" s="1"/>
      <c r="AA108" s="1"/>
    </row>
    <row r="109" ht="12.75" customHeight="1">
      <c r="A109" s="1"/>
      <c r="B109" s="140"/>
      <c r="C109" s="141"/>
      <c r="D109" s="142"/>
      <c r="E109" s="143"/>
      <c r="F109" s="144"/>
      <c r="G109" s="1"/>
      <c r="H109" s="131" t="str">
        <f t="shared" si="4"/>
        <v/>
      </c>
      <c r="I109" s="132" t="str">
        <f>IF(L109&gt;0,NbEch+Différé+1-H109,"")</f>
        <v/>
      </c>
      <c r="J109" s="145" t="str">
        <f t="shared" si="2"/>
        <v/>
      </c>
      <c r="K109" s="146" t="str">
        <f>IF(L109=0,"",IF(Ijour=0,MIN(DATE(YEAR(DebAmort),MONTH(DebAmort)+(H109-1)*Imois,Jour1),DATE(YEAR(DebAmort),MONTH(DebAmort)+1+(H109-1)*Imois,0)),DATE(YEAR(DebAmort),MONTH(DebAmort),Jour1+(H109-1)*Ijour)))</f>
        <v/>
      </c>
      <c r="L109" s="147">
        <f t="shared" si="5"/>
        <v>0</v>
      </c>
      <c r="M109" s="135">
        <f>IF(H109&lt;=NoEchMaxi,ROUND(L109*R109,NbDeci),0)</f>
        <v>0</v>
      </c>
      <c r="N109" s="134">
        <f>IF(OR(H109&lt;=Différé,H109&gt;NoEchMaxi),IF(DiffTotal,-M109,0),IF(H109&gt;=NoEchRemb,L109,IF(S109-(M109*EchFIXE)&gt;L109-2,L109,S109-(M109*EchFIXE))))+C109</f>
        <v>0</v>
      </c>
      <c r="O109" s="136">
        <f>IF(OR(L109=0,H109&gt;NoEchMaxi),0,ROUND(FraisF+FraisV*L109,NbDeci))+F109</f>
        <v>0</v>
      </c>
      <c r="P109" s="148">
        <f t="shared" si="3"/>
        <v>0</v>
      </c>
      <c r="Q109" s="1"/>
      <c r="R109" s="138">
        <f>IF(B109&gt;0,IF(TauxActuariel,((B109+1)^(1/NbEchAn))-1,B109/NbEchAn),R108)</f>
        <v>0.04</v>
      </c>
      <c r="S109" s="139">
        <f>IF(E109&gt;0,E109,IF(D109&gt;0,IF(AND(EchFIXE,R109&gt;0),ROUND((L109-C109)*R109/(1-((1+R109)^-D109)),NbDeci),ROUND(L109/D109,NbDeci)),S108))</f>
        <v>6664</v>
      </c>
      <c r="T109" s="1"/>
      <c r="U109" s="1"/>
      <c r="V109" s="1"/>
      <c r="W109" s="1"/>
      <c r="X109" s="1"/>
      <c r="Y109" s="1"/>
      <c r="Z109" s="1"/>
      <c r="AA109" s="1"/>
    </row>
    <row r="110" ht="12.75" customHeight="1">
      <c r="A110" s="1"/>
      <c r="B110" s="140"/>
      <c r="C110" s="141"/>
      <c r="D110" s="142"/>
      <c r="E110" s="143"/>
      <c r="F110" s="144"/>
      <c r="G110" s="1"/>
      <c r="H110" s="131" t="str">
        <f t="shared" si="4"/>
        <v/>
      </c>
      <c r="I110" s="132" t="str">
        <f>IF(L110&gt;0,NbEch+Différé+1-H110,"")</f>
        <v/>
      </c>
      <c r="J110" s="145" t="str">
        <f t="shared" si="2"/>
        <v/>
      </c>
      <c r="K110" s="146" t="str">
        <f>IF(L110=0,"",IF(Ijour=0,MIN(DATE(YEAR(DebAmort),MONTH(DebAmort)+MoisD+(H110-1)*Imois,Jour2),DATE(YEAR(DebAmort),MONTH(DebAmort)+MoisD+1+(H110-1)*Imois,0)),DATE(YEAR(DebAmort),MONTH(DebAmort),Jour1+(H110-1)*Ijour)))</f>
        <v/>
      </c>
      <c r="L110" s="147">
        <f t="shared" si="5"/>
        <v>0</v>
      </c>
      <c r="M110" s="135">
        <f>IF(H110&lt;=NoEchMaxi,ROUND(L110*R110,NbDeci),0)</f>
        <v>0</v>
      </c>
      <c r="N110" s="134">
        <f>IF(OR(H110&lt;=Différé,H110&gt;NoEchMaxi),IF(DiffTotal,-M110,0),IF(H110&gt;=NoEchRemb,L110,IF(S110-(M110*EchFIXE)&gt;L110-2,L110,S110-(M110*EchFIXE))))+C110</f>
        <v>0</v>
      </c>
      <c r="O110" s="136">
        <f>IF(OR(L110=0,H110&gt;NoEchMaxi),0,ROUND(FraisF+FraisV*L110,NbDeci))+F110</f>
        <v>0</v>
      </c>
      <c r="P110" s="148">
        <f t="shared" si="3"/>
        <v>0</v>
      </c>
      <c r="Q110" s="1"/>
      <c r="R110" s="138">
        <f>IF(B110&gt;0,IF(TauxActuariel,((B110+1)^(1/NbEchAn))-1,B110/NbEchAn),R109)</f>
        <v>0.04</v>
      </c>
      <c r="S110" s="139">
        <f>IF(E110&gt;0,E110,IF(D110&gt;0,IF(AND(EchFIXE,R110&gt;0),ROUND((L110-C110)*R110/(1-((1+R110)^-D110)),NbDeci),ROUND(L110/D110,NbDeci)),S109))</f>
        <v>6664</v>
      </c>
      <c r="T110" s="1"/>
      <c r="U110" s="1"/>
      <c r="V110" s="1"/>
      <c r="W110" s="1"/>
      <c r="X110" s="1"/>
      <c r="Y110" s="1"/>
      <c r="Z110" s="1"/>
      <c r="AA110" s="1"/>
    </row>
    <row r="111" ht="12.75" customHeight="1">
      <c r="A111" s="1"/>
      <c r="B111" s="140"/>
      <c r="C111" s="141"/>
      <c r="D111" s="142"/>
      <c r="E111" s="143"/>
      <c r="F111" s="144"/>
      <c r="G111" s="1"/>
      <c r="H111" s="131" t="str">
        <f t="shared" si="4"/>
        <v/>
      </c>
      <c r="I111" s="132" t="str">
        <f>IF(L111&gt;0,NbEch+Différé+1-H111,"")</f>
        <v/>
      </c>
      <c r="J111" s="145" t="str">
        <f t="shared" si="2"/>
        <v/>
      </c>
      <c r="K111" s="146" t="str">
        <f>IF(L111=0,"",IF(Ijour=0,MIN(DATE(YEAR(DebAmort),MONTH(DebAmort)+(H111-1)*Imois,Jour1),DATE(YEAR(DebAmort),MONTH(DebAmort)+1+(H111-1)*Imois,0)),DATE(YEAR(DebAmort),MONTH(DebAmort),Jour1+(H111-1)*Ijour)))</f>
        <v/>
      </c>
      <c r="L111" s="147">
        <f t="shared" si="5"/>
        <v>0</v>
      </c>
      <c r="M111" s="135">
        <f>IF(H111&lt;=NoEchMaxi,ROUND(L111*R111,NbDeci),0)</f>
        <v>0</v>
      </c>
      <c r="N111" s="134">
        <f>IF(OR(H111&lt;=Différé,H111&gt;NoEchMaxi),IF(DiffTotal,-M111,0),IF(H111&gt;=NoEchRemb,L111,IF(S111-(M111*EchFIXE)&gt;L111-2,L111,S111-(M111*EchFIXE))))+C111</f>
        <v>0</v>
      </c>
      <c r="O111" s="136">
        <f>IF(OR(L111=0,H111&gt;NoEchMaxi),0,ROUND(FraisF+FraisV*L111,NbDeci))+F111</f>
        <v>0</v>
      </c>
      <c r="P111" s="148">
        <f t="shared" si="3"/>
        <v>0</v>
      </c>
      <c r="Q111" s="1"/>
      <c r="R111" s="138">
        <f>IF(B111&gt;0,IF(TauxActuariel,((B111+1)^(1/NbEchAn))-1,B111/NbEchAn),R110)</f>
        <v>0.04</v>
      </c>
      <c r="S111" s="139">
        <f>IF(E111&gt;0,E111,IF(D111&gt;0,IF(AND(EchFIXE,R111&gt;0),ROUND((L111-C111)*R111/(1-((1+R111)^-D111)),NbDeci),ROUND(L111/D111,NbDeci)),S110))</f>
        <v>6664</v>
      </c>
      <c r="T111" s="1"/>
      <c r="U111" s="1"/>
      <c r="V111" s="1"/>
      <c r="W111" s="1"/>
      <c r="X111" s="1"/>
      <c r="Y111" s="1"/>
      <c r="Z111" s="1"/>
      <c r="AA111" s="1"/>
    </row>
    <row r="112" ht="12.75" customHeight="1">
      <c r="A112" s="1"/>
      <c r="B112" s="140"/>
      <c r="C112" s="141"/>
      <c r="D112" s="142"/>
      <c r="E112" s="143"/>
      <c r="F112" s="144"/>
      <c r="G112" s="1"/>
      <c r="H112" s="131" t="str">
        <f t="shared" si="4"/>
        <v/>
      </c>
      <c r="I112" s="132" t="str">
        <f>IF(L112&gt;0,NbEch+Différé+1-H112,"")</f>
        <v/>
      </c>
      <c r="J112" s="145" t="str">
        <f t="shared" si="2"/>
        <v/>
      </c>
      <c r="K112" s="146" t="str">
        <f>IF(L112=0,"",IF(Ijour=0,MIN(DATE(YEAR(DebAmort),MONTH(DebAmort)+MoisD+(H112-1)*Imois,Jour2),DATE(YEAR(DebAmort),MONTH(DebAmort)+MoisD+1+(H112-1)*Imois,0)),DATE(YEAR(DebAmort),MONTH(DebAmort),Jour1+(H112-1)*Ijour)))</f>
        <v/>
      </c>
      <c r="L112" s="147">
        <f t="shared" si="5"/>
        <v>0</v>
      </c>
      <c r="M112" s="135">
        <f>IF(H112&lt;=NoEchMaxi,ROUND(L112*R112,NbDeci),0)</f>
        <v>0</v>
      </c>
      <c r="N112" s="134">
        <f>IF(OR(H112&lt;=Différé,H112&gt;NoEchMaxi),IF(DiffTotal,-M112,0),IF(H112&gt;=NoEchRemb,L112,IF(S112-(M112*EchFIXE)&gt;L112-2,L112,S112-(M112*EchFIXE))))+C112</f>
        <v>0</v>
      </c>
      <c r="O112" s="136">
        <f>IF(OR(L112=0,H112&gt;NoEchMaxi),0,ROUND(FraisF+FraisV*L112,NbDeci))+F112</f>
        <v>0</v>
      </c>
      <c r="P112" s="148">
        <f t="shared" si="3"/>
        <v>0</v>
      </c>
      <c r="Q112" s="1"/>
      <c r="R112" s="138">
        <f>IF(B112&gt;0,IF(TauxActuariel,((B112+1)^(1/NbEchAn))-1,B112/NbEchAn),R111)</f>
        <v>0.04</v>
      </c>
      <c r="S112" s="139">
        <f>IF(E112&gt;0,E112,IF(D112&gt;0,IF(AND(EchFIXE,R112&gt;0),ROUND((L112-C112)*R112/(1-((1+R112)^-D112)),NbDeci),ROUND(L112/D112,NbDeci)),S111))</f>
        <v>6664</v>
      </c>
      <c r="T112" s="1"/>
      <c r="U112" s="1"/>
      <c r="V112" s="1"/>
      <c r="W112" s="1"/>
      <c r="X112" s="1"/>
      <c r="Y112" s="1"/>
      <c r="Z112" s="1"/>
      <c r="AA112" s="1"/>
    </row>
    <row r="113" ht="12.75" customHeight="1">
      <c r="A113" s="1"/>
      <c r="B113" s="140"/>
      <c r="C113" s="141"/>
      <c r="D113" s="142"/>
      <c r="E113" s="143"/>
      <c r="F113" s="144"/>
      <c r="G113" s="1"/>
      <c r="H113" s="131" t="str">
        <f t="shared" si="4"/>
        <v/>
      </c>
      <c r="I113" s="132" t="str">
        <f>IF(L113&gt;0,NbEch+Différé+1-H113,"")</f>
        <v/>
      </c>
      <c r="J113" s="145" t="str">
        <f t="shared" si="2"/>
        <v/>
      </c>
      <c r="K113" s="146" t="str">
        <f>IF(L113=0,"",IF(Ijour=0,MIN(DATE(YEAR(DebAmort),MONTH(DebAmort)+(H113-1)*Imois,Jour1),DATE(YEAR(DebAmort),MONTH(DebAmort)+1+(H113-1)*Imois,0)),DATE(YEAR(DebAmort),MONTH(DebAmort),Jour1+(H113-1)*Ijour)))</f>
        <v/>
      </c>
      <c r="L113" s="147">
        <f t="shared" si="5"/>
        <v>0</v>
      </c>
      <c r="M113" s="135">
        <f>IF(H113&lt;=NoEchMaxi,ROUND(L113*R113,NbDeci),0)</f>
        <v>0</v>
      </c>
      <c r="N113" s="134">
        <f>IF(OR(H113&lt;=Différé,H113&gt;NoEchMaxi),IF(DiffTotal,-M113,0),IF(H113&gt;=NoEchRemb,L113,IF(S113-(M113*EchFIXE)&gt;L113-2,L113,S113-(M113*EchFIXE))))+C113</f>
        <v>0</v>
      </c>
      <c r="O113" s="136">
        <f>IF(OR(L113=0,H113&gt;NoEchMaxi),0,ROUND(FraisF+FraisV*L113,NbDeci))+F113</f>
        <v>0</v>
      </c>
      <c r="P113" s="148">
        <f t="shared" si="3"/>
        <v>0</v>
      </c>
      <c r="Q113" s="1"/>
      <c r="R113" s="138">
        <f>IF(B113&gt;0,IF(TauxActuariel,((B113+1)^(1/NbEchAn))-1,B113/NbEchAn),R112)</f>
        <v>0.04</v>
      </c>
      <c r="S113" s="139">
        <f>IF(E113&gt;0,E113,IF(D113&gt;0,IF(AND(EchFIXE,R113&gt;0),ROUND((L113-C113)*R113/(1-((1+R113)^-D113)),NbDeci),ROUND(L113/D113,NbDeci)),S112))</f>
        <v>6664</v>
      </c>
      <c r="T113" s="1"/>
      <c r="U113" s="1"/>
      <c r="V113" s="1"/>
      <c r="W113" s="1"/>
      <c r="X113" s="1"/>
      <c r="Y113" s="1"/>
      <c r="Z113" s="1"/>
      <c r="AA113" s="1"/>
    </row>
    <row r="114" ht="12.75" customHeight="1">
      <c r="A114" s="1"/>
      <c r="B114" s="140"/>
      <c r="C114" s="141"/>
      <c r="D114" s="142"/>
      <c r="E114" s="143"/>
      <c r="F114" s="144"/>
      <c r="G114" s="1"/>
      <c r="H114" s="131" t="str">
        <f t="shared" si="4"/>
        <v/>
      </c>
      <c r="I114" s="132" t="str">
        <f>IF(L114&gt;0,NbEch+Différé+1-H114,"")</f>
        <v/>
      </c>
      <c r="J114" s="145" t="str">
        <f t="shared" si="2"/>
        <v/>
      </c>
      <c r="K114" s="146" t="str">
        <f>IF(L114=0,"",IF(Ijour=0,MIN(DATE(YEAR(DebAmort),MONTH(DebAmort)+MoisD+(H114-1)*Imois,Jour2),DATE(YEAR(DebAmort),MONTH(DebAmort)+MoisD+1+(H114-1)*Imois,0)),DATE(YEAR(DebAmort),MONTH(DebAmort),Jour1+(H114-1)*Ijour)))</f>
        <v/>
      </c>
      <c r="L114" s="147">
        <f t="shared" si="5"/>
        <v>0</v>
      </c>
      <c r="M114" s="135">
        <f>IF(H114&lt;=NoEchMaxi,ROUND(L114*R114,NbDeci),0)</f>
        <v>0</v>
      </c>
      <c r="N114" s="134">
        <f>IF(OR(H114&lt;=Différé,H114&gt;NoEchMaxi),IF(DiffTotal,-M114,0),IF(H114&gt;=NoEchRemb,L114,IF(S114-(M114*EchFIXE)&gt;L114-2,L114,S114-(M114*EchFIXE))))+C114</f>
        <v>0</v>
      </c>
      <c r="O114" s="136">
        <f>IF(OR(L114=0,H114&gt;NoEchMaxi),0,ROUND(FraisF+FraisV*L114,NbDeci))+F114</f>
        <v>0</v>
      </c>
      <c r="P114" s="148">
        <f t="shared" si="3"/>
        <v>0</v>
      </c>
      <c r="Q114" s="1"/>
      <c r="R114" s="138">
        <f>IF(B114&gt;0,IF(TauxActuariel,((B114+1)^(1/NbEchAn))-1,B114/NbEchAn),R113)</f>
        <v>0.04</v>
      </c>
      <c r="S114" s="139">
        <f>IF(E114&gt;0,E114,IF(D114&gt;0,IF(AND(EchFIXE,R114&gt;0),ROUND((L114-C114)*R114/(1-((1+R114)^-D114)),NbDeci),ROUND(L114/D114,NbDeci)),S113))</f>
        <v>6664</v>
      </c>
      <c r="T114" s="1"/>
      <c r="U114" s="1"/>
      <c r="V114" s="1"/>
      <c r="W114" s="1"/>
      <c r="X114" s="1"/>
      <c r="Y114" s="1"/>
      <c r="Z114" s="1"/>
      <c r="AA114" s="1"/>
    </row>
    <row r="115" ht="12.75" customHeight="1">
      <c r="A115" s="1"/>
      <c r="B115" s="140"/>
      <c r="C115" s="141"/>
      <c r="D115" s="142"/>
      <c r="E115" s="143"/>
      <c r="F115" s="144"/>
      <c r="G115" s="1"/>
      <c r="H115" s="131" t="str">
        <f t="shared" si="4"/>
        <v/>
      </c>
      <c r="I115" s="132" t="str">
        <f>IF(L115&gt;0,NbEch+Différé+1-H115,"")</f>
        <v/>
      </c>
      <c r="J115" s="145" t="str">
        <f t="shared" si="2"/>
        <v/>
      </c>
      <c r="K115" s="146" t="str">
        <f>IF(L115=0,"",IF(Ijour=0,MIN(DATE(YEAR(DebAmort),MONTH(DebAmort)+(H115-1)*Imois,Jour1),DATE(YEAR(DebAmort),MONTH(DebAmort)+1+(H115-1)*Imois,0)),DATE(YEAR(DebAmort),MONTH(DebAmort),Jour1+(H115-1)*Ijour)))</f>
        <v/>
      </c>
      <c r="L115" s="147">
        <f t="shared" si="5"/>
        <v>0</v>
      </c>
      <c r="M115" s="135">
        <f>IF(H115&lt;=NoEchMaxi,ROUND(L115*R115,NbDeci),0)</f>
        <v>0</v>
      </c>
      <c r="N115" s="134">
        <f>IF(OR(H115&lt;=Différé,H115&gt;NoEchMaxi),IF(DiffTotal,-M115,0),IF(H115&gt;=NoEchRemb,L115,IF(S115-(M115*EchFIXE)&gt;L115-2,L115,S115-(M115*EchFIXE))))+C115</f>
        <v>0</v>
      </c>
      <c r="O115" s="136">
        <f>IF(OR(L115=0,H115&gt;NoEchMaxi),0,ROUND(FraisF+FraisV*L115,NbDeci))+F115</f>
        <v>0</v>
      </c>
      <c r="P115" s="148">
        <f t="shared" si="3"/>
        <v>0</v>
      </c>
      <c r="Q115" s="1"/>
      <c r="R115" s="138">
        <f>IF(B115&gt;0,IF(TauxActuariel,((B115+1)^(1/NbEchAn))-1,B115/NbEchAn),R114)</f>
        <v>0.04</v>
      </c>
      <c r="S115" s="139">
        <f>IF(E115&gt;0,E115,IF(D115&gt;0,IF(AND(EchFIXE,R115&gt;0),ROUND((L115-C115)*R115/(1-((1+R115)^-D115)),NbDeci),ROUND(L115/D115,NbDeci)),S114))</f>
        <v>6664</v>
      </c>
      <c r="T115" s="1"/>
      <c r="U115" s="1"/>
      <c r="V115" s="1"/>
      <c r="W115" s="1"/>
      <c r="X115" s="1"/>
      <c r="Y115" s="1"/>
      <c r="Z115" s="1"/>
      <c r="AA115" s="1"/>
    </row>
    <row r="116" ht="12.75" customHeight="1">
      <c r="A116" s="1"/>
      <c r="B116" s="140"/>
      <c r="C116" s="141"/>
      <c r="D116" s="142"/>
      <c r="E116" s="143"/>
      <c r="F116" s="144"/>
      <c r="G116" s="1"/>
      <c r="H116" s="131" t="str">
        <f t="shared" si="4"/>
        <v/>
      </c>
      <c r="I116" s="132" t="str">
        <f>IF(L116&gt;0,NbEch+Différé+1-H116,"")</f>
        <v/>
      </c>
      <c r="J116" s="145" t="str">
        <f t="shared" si="2"/>
        <v/>
      </c>
      <c r="K116" s="146" t="str">
        <f>IF(L116=0,"",IF(Ijour=0,MIN(DATE(YEAR(DebAmort),MONTH(DebAmort)+MoisD+(H116-1)*Imois,Jour2),DATE(YEAR(DebAmort),MONTH(DebAmort)+MoisD+1+(H116-1)*Imois,0)),DATE(YEAR(DebAmort),MONTH(DebAmort),Jour1+(H116-1)*Ijour)))</f>
        <v/>
      </c>
      <c r="L116" s="147">
        <f t="shared" si="5"/>
        <v>0</v>
      </c>
      <c r="M116" s="135">
        <f>IF(H116&lt;=NoEchMaxi,ROUND(L116*R116,NbDeci),0)</f>
        <v>0</v>
      </c>
      <c r="N116" s="134">
        <f>IF(OR(H116&lt;=Différé,H116&gt;NoEchMaxi),IF(DiffTotal,-M116,0),IF(H116&gt;=NoEchRemb,L116,IF(S116-(M116*EchFIXE)&gt;L116-2,L116,S116-(M116*EchFIXE))))+C116</f>
        <v>0</v>
      </c>
      <c r="O116" s="136">
        <f>IF(OR(L116=0,H116&gt;NoEchMaxi),0,ROUND(FraisF+FraisV*L116,NbDeci))+F116</f>
        <v>0</v>
      </c>
      <c r="P116" s="148">
        <f t="shared" si="3"/>
        <v>0</v>
      </c>
      <c r="Q116" s="1"/>
      <c r="R116" s="138">
        <f>IF(B116&gt;0,IF(TauxActuariel,((B116+1)^(1/NbEchAn))-1,B116/NbEchAn),R115)</f>
        <v>0.04</v>
      </c>
      <c r="S116" s="139">
        <f>IF(E116&gt;0,E116,IF(D116&gt;0,IF(AND(EchFIXE,R116&gt;0),ROUND((L116-C116)*R116/(1-((1+R116)^-D116)),NbDeci),ROUND(L116/D116,NbDeci)),S115))</f>
        <v>6664</v>
      </c>
      <c r="T116" s="1"/>
      <c r="U116" s="1"/>
      <c r="V116" s="1"/>
      <c r="W116" s="1"/>
      <c r="X116" s="1"/>
      <c r="Y116" s="1"/>
      <c r="Z116" s="1"/>
      <c r="AA116" s="1"/>
    </row>
    <row r="117" ht="12.75" customHeight="1">
      <c r="A117" s="1"/>
      <c r="B117" s="140"/>
      <c r="C117" s="141"/>
      <c r="D117" s="142"/>
      <c r="E117" s="143"/>
      <c r="F117" s="144"/>
      <c r="G117" s="1"/>
      <c r="H117" s="131" t="str">
        <f t="shared" si="4"/>
        <v/>
      </c>
      <c r="I117" s="132" t="str">
        <f>IF(L117&gt;0,NbEch+Différé+1-H117,"")</f>
        <v/>
      </c>
      <c r="J117" s="145" t="str">
        <f t="shared" si="2"/>
        <v/>
      </c>
      <c r="K117" s="146" t="str">
        <f>IF(L117=0,"",IF(Ijour=0,MIN(DATE(YEAR(DebAmort),MONTH(DebAmort)+(H117-1)*Imois,Jour1),DATE(YEAR(DebAmort),MONTH(DebAmort)+1+(H117-1)*Imois,0)),DATE(YEAR(DebAmort),MONTH(DebAmort),Jour1+(H117-1)*Ijour)))</f>
        <v/>
      </c>
      <c r="L117" s="147">
        <f t="shared" si="5"/>
        <v>0</v>
      </c>
      <c r="M117" s="135">
        <f>IF(H117&lt;=NoEchMaxi,ROUND(L117*R117,NbDeci),0)</f>
        <v>0</v>
      </c>
      <c r="N117" s="134">
        <f>IF(OR(H117&lt;=Différé,H117&gt;NoEchMaxi),IF(DiffTotal,-M117,0),IF(H117&gt;=NoEchRemb,L117,IF(S117-(M117*EchFIXE)&gt;L117-2,L117,S117-(M117*EchFIXE))))+C117</f>
        <v>0</v>
      </c>
      <c r="O117" s="136">
        <f>IF(OR(L117=0,H117&gt;NoEchMaxi),0,ROUND(FraisF+FraisV*L117,NbDeci))+F117</f>
        <v>0</v>
      </c>
      <c r="P117" s="148">
        <f t="shared" si="3"/>
        <v>0</v>
      </c>
      <c r="Q117" s="1"/>
      <c r="R117" s="138">
        <f>IF(B117&gt;0,IF(TauxActuariel,((B117+1)^(1/NbEchAn))-1,B117/NbEchAn),R116)</f>
        <v>0.04</v>
      </c>
      <c r="S117" s="139">
        <f>IF(E117&gt;0,E117,IF(D117&gt;0,IF(AND(EchFIXE,R117&gt;0),ROUND((L117-C117)*R117/(1-((1+R117)^-D117)),NbDeci),ROUND(L117/D117,NbDeci)),S116))</f>
        <v>6664</v>
      </c>
      <c r="T117" s="1"/>
      <c r="U117" s="1"/>
      <c r="V117" s="1"/>
      <c r="W117" s="1"/>
      <c r="X117" s="1"/>
      <c r="Y117" s="1"/>
      <c r="Z117" s="1"/>
      <c r="AA117" s="1"/>
    </row>
    <row r="118" ht="12.75" customHeight="1">
      <c r="A118" s="1"/>
      <c r="B118" s="140"/>
      <c r="C118" s="141"/>
      <c r="D118" s="142"/>
      <c r="E118" s="143"/>
      <c r="F118" s="144"/>
      <c r="G118" s="1"/>
      <c r="H118" s="131" t="str">
        <f t="shared" si="4"/>
        <v/>
      </c>
      <c r="I118" s="132" t="str">
        <f>IF(L118&gt;0,NbEch+Différé+1-H118,"")</f>
        <v/>
      </c>
      <c r="J118" s="145" t="str">
        <f t="shared" si="2"/>
        <v/>
      </c>
      <c r="K118" s="146" t="str">
        <f>IF(L118=0,"",IF(Ijour=0,MIN(DATE(YEAR(DebAmort),MONTH(DebAmort)+MoisD+(H118-1)*Imois,Jour2),DATE(YEAR(DebAmort),MONTH(DebAmort)+MoisD+1+(H118-1)*Imois,0)),DATE(YEAR(DebAmort),MONTH(DebAmort),Jour1+(H118-1)*Ijour)))</f>
        <v/>
      </c>
      <c r="L118" s="147">
        <f t="shared" si="5"/>
        <v>0</v>
      </c>
      <c r="M118" s="135">
        <f>IF(H118&lt;=NoEchMaxi,ROUND(L118*R118,NbDeci),0)</f>
        <v>0</v>
      </c>
      <c r="N118" s="134">
        <f>IF(OR(H118&lt;=Différé,H118&gt;NoEchMaxi),IF(DiffTotal,-M118,0),IF(H118&gt;=NoEchRemb,L118,IF(S118-(M118*EchFIXE)&gt;L118-2,L118,S118-(M118*EchFIXE))))+C118</f>
        <v>0</v>
      </c>
      <c r="O118" s="136">
        <f>IF(OR(L118=0,H118&gt;NoEchMaxi),0,ROUND(FraisF+FraisV*L118,NbDeci))+F118</f>
        <v>0</v>
      </c>
      <c r="P118" s="148">
        <f t="shared" si="3"/>
        <v>0</v>
      </c>
      <c r="Q118" s="1"/>
      <c r="R118" s="138">
        <f>IF(B118&gt;0,IF(TauxActuariel,((B118+1)^(1/NbEchAn))-1,B118/NbEchAn),R117)</f>
        <v>0.04</v>
      </c>
      <c r="S118" s="139">
        <f>IF(E118&gt;0,E118,IF(D118&gt;0,IF(AND(EchFIXE,R118&gt;0),ROUND((L118-C118)*R118/(1-((1+R118)^-D118)),NbDeci),ROUND(L118/D118,NbDeci)),S117))</f>
        <v>6664</v>
      </c>
      <c r="T118" s="1"/>
      <c r="U118" s="1"/>
      <c r="V118" s="1"/>
      <c r="W118" s="1"/>
      <c r="X118" s="1"/>
      <c r="Y118" s="1"/>
      <c r="Z118" s="1"/>
      <c r="AA118" s="1"/>
    </row>
    <row r="119" ht="12.75" customHeight="1">
      <c r="A119" s="1"/>
      <c r="B119" s="140"/>
      <c r="C119" s="141"/>
      <c r="D119" s="142"/>
      <c r="E119" s="143"/>
      <c r="F119" s="144"/>
      <c r="G119" s="1"/>
      <c r="H119" s="131" t="str">
        <f t="shared" si="4"/>
        <v/>
      </c>
      <c r="I119" s="132" t="str">
        <f>IF(L119&gt;0,NbEch+Différé+1-H119,"")</f>
        <v/>
      </c>
      <c r="J119" s="145" t="str">
        <f t="shared" si="2"/>
        <v/>
      </c>
      <c r="K119" s="146" t="str">
        <f>IF(L119=0,"",IF(Ijour=0,MIN(DATE(YEAR(DebAmort),MONTH(DebAmort)+(H119-1)*Imois,Jour1),DATE(YEAR(DebAmort),MONTH(DebAmort)+1+(H119-1)*Imois,0)),DATE(YEAR(DebAmort),MONTH(DebAmort),Jour1+(H119-1)*Ijour)))</f>
        <v/>
      </c>
      <c r="L119" s="147">
        <f t="shared" si="5"/>
        <v>0</v>
      </c>
      <c r="M119" s="135">
        <f>IF(H119&lt;=NoEchMaxi,ROUND(L119*R119,NbDeci),0)</f>
        <v>0</v>
      </c>
      <c r="N119" s="134">
        <f>IF(OR(H119&lt;=Différé,H119&gt;NoEchMaxi),IF(DiffTotal,-M119,0),IF(H119&gt;=NoEchRemb,L119,IF(S119-(M119*EchFIXE)&gt;L119-2,L119,S119-(M119*EchFIXE))))+C119</f>
        <v>0</v>
      </c>
      <c r="O119" s="136">
        <f>IF(OR(L119=0,H119&gt;NoEchMaxi),0,ROUND(FraisF+FraisV*L119,NbDeci))+F119</f>
        <v>0</v>
      </c>
      <c r="P119" s="148">
        <f t="shared" si="3"/>
        <v>0</v>
      </c>
      <c r="Q119" s="1"/>
      <c r="R119" s="138">
        <f>IF(B119&gt;0,IF(TauxActuariel,((B119+1)^(1/NbEchAn))-1,B119/NbEchAn),R118)</f>
        <v>0.04</v>
      </c>
      <c r="S119" s="139">
        <f>IF(E119&gt;0,E119,IF(D119&gt;0,IF(AND(EchFIXE,R119&gt;0),ROUND((L119-C119)*R119/(1-((1+R119)^-D119)),NbDeci),ROUND(L119/D119,NbDeci)),S118))</f>
        <v>6664</v>
      </c>
      <c r="T119" s="1"/>
      <c r="U119" s="1"/>
      <c r="V119" s="1"/>
      <c r="W119" s="1"/>
      <c r="X119" s="1"/>
      <c r="Y119" s="1"/>
      <c r="Z119" s="1"/>
      <c r="AA119" s="1"/>
    </row>
    <row r="120" ht="12.75" customHeight="1">
      <c r="A120" s="1"/>
      <c r="B120" s="140"/>
      <c r="C120" s="141"/>
      <c r="D120" s="142"/>
      <c r="E120" s="143"/>
      <c r="F120" s="144"/>
      <c r="G120" s="1"/>
      <c r="H120" s="131" t="str">
        <f t="shared" si="4"/>
        <v/>
      </c>
      <c r="I120" s="132" t="str">
        <f>IF(L120&gt;0,NbEch+Différé+1-H120,"")</f>
        <v/>
      </c>
      <c r="J120" s="145" t="str">
        <f t="shared" si="2"/>
        <v/>
      </c>
      <c r="K120" s="146" t="str">
        <f>IF(L120=0,"",IF(Ijour=0,MIN(DATE(YEAR(DebAmort),MONTH(DebAmort)+MoisD+(H120-1)*Imois,Jour2),DATE(YEAR(DebAmort),MONTH(DebAmort)+MoisD+1+(H120-1)*Imois,0)),DATE(YEAR(DebAmort),MONTH(DebAmort),Jour1+(H120-1)*Ijour)))</f>
        <v/>
      </c>
      <c r="L120" s="147">
        <f t="shared" si="5"/>
        <v>0</v>
      </c>
      <c r="M120" s="135">
        <f>IF(H120&lt;=NoEchMaxi,ROUND(L120*R120,NbDeci),0)</f>
        <v>0</v>
      </c>
      <c r="N120" s="134">
        <f>IF(OR(H120&lt;=Différé,H120&gt;NoEchMaxi),IF(DiffTotal,-M120,0),IF(H120&gt;=NoEchRemb,L120,IF(S120-(M120*EchFIXE)&gt;L120-2,L120,S120-(M120*EchFIXE))))+C120</f>
        <v>0</v>
      </c>
      <c r="O120" s="136">
        <f>IF(OR(L120=0,H120&gt;NoEchMaxi),0,ROUND(FraisF+FraisV*L120,NbDeci))+F120</f>
        <v>0</v>
      </c>
      <c r="P120" s="148">
        <f t="shared" si="3"/>
        <v>0</v>
      </c>
      <c r="Q120" s="1"/>
      <c r="R120" s="138">
        <f>IF(B120&gt;0,IF(TauxActuariel,((B120+1)^(1/NbEchAn))-1,B120/NbEchAn),R119)</f>
        <v>0.04</v>
      </c>
      <c r="S120" s="139">
        <f>IF(E120&gt;0,E120,IF(D120&gt;0,IF(AND(EchFIXE,R120&gt;0),ROUND((L120-C120)*R120/(1-((1+R120)^-D120)),NbDeci),ROUND(L120/D120,NbDeci)),S119))</f>
        <v>6664</v>
      </c>
      <c r="T120" s="1"/>
      <c r="U120" s="1"/>
      <c r="V120" s="1"/>
      <c r="W120" s="1"/>
      <c r="X120" s="1"/>
      <c r="Y120" s="1"/>
      <c r="Z120" s="1"/>
      <c r="AA120" s="1"/>
    </row>
    <row r="121" ht="12.75" customHeight="1">
      <c r="A121" s="1"/>
      <c r="B121" s="140"/>
      <c r="C121" s="141"/>
      <c r="D121" s="142"/>
      <c r="E121" s="143"/>
      <c r="F121" s="144"/>
      <c r="G121" s="1"/>
      <c r="H121" s="131" t="str">
        <f t="shared" si="4"/>
        <v/>
      </c>
      <c r="I121" s="132" t="str">
        <f>IF(L121&gt;0,NbEch+Différé+1-H121,"")</f>
        <v/>
      </c>
      <c r="J121" s="145" t="str">
        <f t="shared" si="2"/>
        <v/>
      </c>
      <c r="K121" s="146" t="str">
        <f>IF(L121=0,"",IF(Ijour=0,MIN(DATE(YEAR(DebAmort),MONTH(DebAmort)+(H121-1)*Imois,Jour1),DATE(YEAR(DebAmort),MONTH(DebAmort)+1+(H121-1)*Imois,0)),DATE(YEAR(DebAmort),MONTH(DebAmort),Jour1+(H121-1)*Ijour)))</f>
        <v/>
      </c>
      <c r="L121" s="147">
        <f t="shared" si="5"/>
        <v>0</v>
      </c>
      <c r="M121" s="135">
        <f>IF(H121&lt;=NoEchMaxi,ROUND(L121*R121,NbDeci),0)</f>
        <v>0</v>
      </c>
      <c r="N121" s="134">
        <f>IF(OR(H121&lt;=Différé,H121&gt;NoEchMaxi),IF(DiffTotal,-M121,0),IF(H121&gt;=NoEchRemb,L121,IF(S121-(M121*EchFIXE)&gt;L121-2,L121,S121-(M121*EchFIXE))))+C121</f>
        <v>0</v>
      </c>
      <c r="O121" s="136">
        <f>IF(OR(L121=0,H121&gt;NoEchMaxi),0,ROUND(FraisF+FraisV*L121,NbDeci))+F121</f>
        <v>0</v>
      </c>
      <c r="P121" s="148">
        <f t="shared" si="3"/>
        <v>0</v>
      </c>
      <c r="Q121" s="1"/>
      <c r="R121" s="138">
        <f>IF(B121&gt;0,IF(TauxActuariel,((B121+1)^(1/NbEchAn))-1,B121/NbEchAn),R120)</f>
        <v>0.04</v>
      </c>
      <c r="S121" s="139">
        <f>IF(E121&gt;0,E121,IF(D121&gt;0,IF(AND(EchFIXE,R121&gt;0),ROUND((L121-C121)*R121/(1-((1+R121)^-D121)),NbDeci),ROUND(L121/D121,NbDeci)),S120))</f>
        <v>6664</v>
      </c>
      <c r="T121" s="1"/>
      <c r="U121" s="1"/>
      <c r="V121" s="1"/>
      <c r="W121" s="1"/>
      <c r="X121" s="1"/>
      <c r="Y121" s="1"/>
      <c r="Z121" s="1"/>
      <c r="AA121" s="1"/>
    </row>
    <row r="122" ht="12.75" customHeight="1">
      <c r="A122" s="1"/>
      <c r="B122" s="140"/>
      <c r="C122" s="141"/>
      <c r="D122" s="142"/>
      <c r="E122" s="143"/>
      <c r="F122" s="144"/>
      <c r="G122" s="1"/>
      <c r="H122" s="131" t="str">
        <f t="shared" si="4"/>
        <v/>
      </c>
      <c r="I122" s="132" t="str">
        <f>IF(L122&gt;0,NbEch+Différé+1-H122,"")</f>
        <v/>
      </c>
      <c r="J122" s="145" t="str">
        <f t="shared" si="2"/>
        <v/>
      </c>
      <c r="K122" s="146" t="str">
        <f>IF(L122=0,"",IF(Ijour=0,MIN(DATE(YEAR(DebAmort),MONTH(DebAmort)+MoisD+(H122-1)*Imois,Jour2),DATE(YEAR(DebAmort),MONTH(DebAmort)+MoisD+1+(H122-1)*Imois,0)),DATE(YEAR(DebAmort),MONTH(DebAmort),Jour1+(H122-1)*Ijour)))</f>
        <v/>
      </c>
      <c r="L122" s="147">
        <f t="shared" si="5"/>
        <v>0</v>
      </c>
      <c r="M122" s="135">
        <f>IF(H122&lt;=NoEchMaxi,ROUND(L122*R122,NbDeci),0)</f>
        <v>0</v>
      </c>
      <c r="N122" s="134">
        <f>IF(OR(H122&lt;=Différé,H122&gt;NoEchMaxi),IF(DiffTotal,-M122,0),IF(H122&gt;=NoEchRemb,L122,IF(S122-(M122*EchFIXE)&gt;L122-2,L122,S122-(M122*EchFIXE))))+C122</f>
        <v>0</v>
      </c>
      <c r="O122" s="136">
        <f>IF(OR(L122=0,H122&gt;NoEchMaxi),0,ROUND(FraisF+FraisV*L122,NbDeci))+F122</f>
        <v>0</v>
      </c>
      <c r="P122" s="148">
        <f t="shared" si="3"/>
        <v>0</v>
      </c>
      <c r="Q122" s="1"/>
      <c r="R122" s="138">
        <f>IF(B122&gt;0,IF(TauxActuariel,((B122+1)^(1/NbEchAn))-1,B122/NbEchAn),R121)</f>
        <v>0.04</v>
      </c>
      <c r="S122" s="139">
        <f>IF(E122&gt;0,E122,IF(D122&gt;0,IF(AND(EchFIXE,R122&gt;0),ROUND((L122-C122)*R122/(1-((1+R122)^-D122)),NbDeci),ROUND(L122/D122,NbDeci)),S121))</f>
        <v>6664</v>
      </c>
      <c r="T122" s="1"/>
      <c r="U122" s="1"/>
      <c r="V122" s="1"/>
      <c r="W122" s="1"/>
      <c r="X122" s="1"/>
      <c r="Y122" s="1"/>
      <c r="Z122" s="1"/>
      <c r="AA122" s="1"/>
    </row>
    <row r="123" ht="12.75" customHeight="1">
      <c r="A123" s="1"/>
      <c r="B123" s="140"/>
      <c r="C123" s="141"/>
      <c r="D123" s="142"/>
      <c r="E123" s="143"/>
      <c r="F123" s="144"/>
      <c r="G123" s="1"/>
      <c r="H123" s="131" t="str">
        <f t="shared" si="4"/>
        <v/>
      </c>
      <c r="I123" s="132" t="str">
        <f>IF(L123&gt;0,NbEch+Différé+1-H123,"")</f>
        <v/>
      </c>
      <c r="J123" s="145" t="str">
        <f t="shared" si="2"/>
        <v/>
      </c>
      <c r="K123" s="146" t="str">
        <f>IF(L123=0,"",IF(Ijour=0,MIN(DATE(YEAR(DebAmort),MONTH(DebAmort)+(H123-1)*Imois,Jour1),DATE(YEAR(DebAmort),MONTH(DebAmort)+1+(H123-1)*Imois,0)),DATE(YEAR(DebAmort),MONTH(DebAmort),Jour1+(H123-1)*Ijour)))</f>
        <v/>
      </c>
      <c r="L123" s="147">
        <f t="shared" si="5"/>
        <v>0</v>
      </c>
      <c r="M123" s="135">
        <f>IF(H123&lt;=NoEchMaxi,ROUND(L123*R123,NbDeci),0)</f>
        <v>0</v>
      </c>
      <c r="N123" s="134">
        <f>IF(OR(H123&lt;=Différé,H123&gt;NoEchMaxi),IF(DiffTotal,-M123,0),IF(H123&gt;=NoEchRemb,L123,IF(S123-(M123*EchFIXE)&gt;L123-2,L123,S123-(M123*EchFIXE))))+C123</f>
        <v>0</v>
      </c>
      <c r="O123" s="136">
        <f>IF(OR(L123=0,H123&gt;NoEchMaxi),0,ROUND(FraisF+FraisV*L123,NbDeci))+F123</f>
        <v>0</v>
      </c>
      <c r="P123" s="148">
        <f t="shared" si="3"/>
        <v>0</v>
      </c>
      <c r="Q123" s="1"/>
      <c r="R123" s="138">
        <f>IF(B123&gt;0,IF(TauxActuariel,((B123+1)^(1/NbEchAn))-1,B123/NbEchAn),R122)</f>
        <v>0.04</v>
      </c>
      <c r="S123" s="139">
        <f>IF(E123&gt;0,E123,IF(D123&gt;0,IF(AND(EchFIXE,R123&gt;0),ROUND((L123-C123)*R123/(1-((1+R123)^-D123)),NbDeci),ROUND(L123/D123,NbDeci)),S122))</f>
        <v>6664</v>
      </c>
      <c r="T123" s="1"/>
      <c r="U123" s="1"/>
      <c r="V123" s="1"/>
      <c r="W123" s="1"/>
      <c r="X123" s="1"/>
      <c r="Y123" s="1"/>
      <c r="Z123" s="1"/>
      <c r="AA123" s="1"/>
    </row>
    <row r="124" ht="12.75" customHeight="1">
      <c r="A124" s="1"/>
      <c r="B124" s="140"/>
      <c r="C124" s="141"/>
      <c r="D124" s="142"/>
      <c r="E124" s="143"/>
      <c r="F124" s="144"/>
      <c r="G124" s="1"/>
      <c r="H124" s="131" t="str">
        <f t="shared" si="4"/>
        <v/>
      </c>
      <c r="I124" s="132" t="str">
        <f>IF(L124&gt;0,NbEch+Différé+1-H124,"")</f>
        <v/>
      </c>
      <c r="J124" s="145" t="str">
        <f t="shared" si="2"/>
        <v/>
      </c>
      <c r="K124" s="146" t="str">
        <f>IF(L124=0,"",IF(Ijour=0,MIN(DATE(YEAR(DebAmort),MONTH(DebAmort)+MoisD+(H124-1)*Imois,Jour2),DATE(YEAR(DebAmort),MONTH(DebAmort)+MoisD+1+(H124-1)*Imois,0)),DATE(YEAR(DebAmort),MONTH(DebAmort),Jour1+(H124-1)*Ijour)))</f>
        <v/>
      </c>
      <c r="L124" s="147">
        <f t="shared" si="5"/>
        <v>0</v>
      </c>
      <c r="M124" s="135">
        <f>IF(H124&lt;=NoEchMaxi,ROUND(L124*R124,NbDeci),0)</f>
        <v>0</v>
      </c>
      <c r="N124" s="134">
        <f>IF(OR(H124&lt;=Différé,H124&gt;NoEchMaxi),IF(DiffTotal,-M124,0),IF(H124&gt;=NoEchRemb,L124,IF(S124-(M124*EchFIXE)&gt;L124-2,L124,S124-(M124*EchFIXE))))+C124</f>
        <v>0</v>
      </c>
      <c r="O124" s="136">
        <f>IF(OR(L124=0,H124&gt;NoEchMaxi),0,ROUND(FraisF+FraisV*L124,NbDeci))+F124</f>
        <v>0</v>
      </c>
      <c r="P124" s="148">
        <f t="shared" si="3"/>
        <v>0</v>
      </c>
      <c r="Q124" s="1"/>
      <c r="R124" s="138">
        <f>IF(B124&gt;0,IF(TauxActuariel,((B124+1)^(1/NbEchAn))-1,B124/NbEchAn),R123)</f>
        <v>0.04</v>
      </c>
      <c r="S124" s="139">
        <f>IF(E124&gt;0,E124,IF(D124&gt;0,IF(AND(EchFIXE,R124&gt;0),ROUND((L124-C124)*R124/(1-((1+R124)^-D124)),NbDeci),ROUND(L124/D124,NbDeci)),S123))</f>
        <v>6664</v>
      </c>
      <c r="T124" s="1"/>
      <c r="U124" s="1"/>
      <c r="V124" s="1"/>
      <c r="W124" s="1"/>
      <c r="X124" s="1"/>
      <c r="Y124" s="1"/>
      <c r="Z124" s="1"/>
      <c r="AA124" s="1"/>
    </row>
    <row r="125" ht="12.75" customHeight="1">
      <c r="A125" s="1"/>
      <c r="B125" s="140"/>
      <c r="C125" s="141"/>
      <c r="D125" s="142"/>
      <c r="E125" s="143"/>
      <c r="F125" s="144"/>
      <c r="G125" s="1"/>
      <c r="H125" s="131" t="str">
        <f t="shared" si="4"/>
        <v/>
      </c>
      <c r="I125" s="132" t="str">
        <f>IF(L125&gt;0,NbEch+Différé+1-H125,"")</f>
        <v/>
      </c>
      <c r="J125" s="145" t="str">
        <f t="shared" si="2"/>
        <v/>
      </c>
      <c r="K125" s="146" t="str">
        <f>IF(L125=0,"",IF(Ijour=0,MIN(DATE(YEAR(DebAmort),MONTH(DebAmort)+(H125-1)*Imois,Jour1),DATE(YEAR(DebAmort),MONTH(DebAmort)+1+(H125-1)*Imois,0)),DATE(YEAR(DebAmort),MONTH(DebAmort),Jour1+(H125-1)*Ijour)))</f>
        <v/>
      </c>
      <c r="L125" s="147">
        <f t="shared" si="5"/>
        <v>0</v>
      </c>
      <c r="M125" s="135">
        <f>IF(H125&lt;=NoEchMaxi,ROUND(L125*R125,NbDeci),0)</f>
        <v>0</v>
      </c>
      <c r="N125" s="134">
        <f>IF(OR(H125&lt;=Différé,H125&gt;NoEchMaxi),IF(DiffTotal,-M125,0),IF(H125&gt;=NoEchRemb,L125,IF(S125-(M125*EchFIXE)&gt;L125-2,L125,S125-(M125*EchFIXE))))+C125</f>
        <v>0</v>
      </c>
      <c r="O125" s="136">
        <f>IF(OR(L125=0,H125&gt;NoEchMaxi),0,ROUND(FraisF+FraisV*L125,NbDeci))+F125</f>
        <v>0</v>
      </c>
      <c r="P125" s="148">
        <f t="shared" si="3"/>
        <v>0</v>
      </c>
      <c r="Q125" s="1"/>
      <c r="R125" s="138">
        <f>IF(B125&gt;0,IF(TauxActuariel,((B125+1)^(1/NbEchAn))-1,B125/NbEchAn),R124)</f>
        <v>0.04</v>
      </c>
      <c r="S125" s="139">
        <f>IF(E125&gt;0,E125,IF(D125&gt;0,IF(AND(EchFIXE,R125&gt;0),ROUND((L125-C125)*R125/(1-((1+R125)^-D125)),NbDeci),ROUND(L125/D125,NbDeci)),S124))</f>
        <v>6664</v>
      </c>
      <c r="T125" s="1"/>
      <c r="U125" s="1"/>
      <c r="V125" s="1"/>
      <c r="W125" s="1"/>
      <c r="X125" s="1"/>
      <c r="Y125" s="1"/>
      <c r="Z125" s="1"/>
      <c r="AA125" s="1"/>
    </row>
    <row r="126" ht="12.75" customHeight="1">
      <c r="A126" s="1"/>
      <c r="B126" s="140"/>
      <c r="C126" s="141"/>
      <c r="D126" s="142"/>
      <c r="E126" s="143"/>
      <c r="F126" s="144"/>
      <c r="G126" s="1"/>
      <c r="H126" s="131" t="str">
        <f t="shared" si="4"/>
        <v/>
      </c>
      <c r="I126" s="132" t="str">
        <f>IF(L126&gt;0,NbEch+Différé+1-H126,"")</f>
        <v/>
      </c>
      <c r="J126" s="145" t="str">
        <f t="shared" si="2"/>
        <v/>
      </c>
      <c r="K126" s="146" t="str">
        <f>IF(L126=0,"",IF(Ijour=0,MIN(DATE(YEAR(DebAmort),MONTH(DebAmort)+MoisD+(H126-1)*Imois,Jour2),DATE(YEAR(DebAmort),MONTH(DebAmort)+MoisD+1+(H126-1)*Imois,0)),DATE(YEAR(DebAmort),MONTH(DebAmort),Jour1+(H126-1)*Ijour)))</f>
        <v/>
      </c>
      <c r="L126" s="147">
        <f t="shared" si="5"/>
        <v>0</v>
      </c>
      <c r="M126" s="135">
        <f>IF(H126&lt;=NoEchMaxi,ROUND(L126*R126,NbDeci),0)</f>
        <v>0</v>
      </c>
      <c r="N126" s="134">
        <f>IF(OR(H126&lt;=Différé,H126&gt;NoEchMaxi),IF(DiffTotal,-M126,0),IF(H126&gt;=NoEchRemb,L126,IF(S126-(M126*EchFIXE)&gt;L126-2,L126,S126-(M126*EchFIXE))))+C126</f>
        <v>0</v>
      </c>
      <c r="O126" s="136">
        <f>IF(OR(L126=0,H126&gt;NoEchMaxi),0,ROUND(FraisF+FraisV*L126,NbDeci))+F126</f>
        <v>0</v>
      </c>
      <c r="P126" s="148">
        <f t="shared" si="3"/>
        <v>0</v>
      </c>
      <c r="Q126" s="1"/>
      <c r="R126" s="138">
        <f>IF(B126&gt;0,IF(TauxActuariel,((B126+1)^(1/NbEchAn))-1,B126/NbEchAn),R125)</f>
        <v>0.04</v>
      </c>
      <c r="S126" s="139">
        <f>IF(E126&gt;0,E126,IF(D126&gt;0,IF(AND(EchFIXE,R126&gt;0),ROUND((L126-C126)*R126/(1-((1+R126)^-D126)),NbDeci),ROUND(L126/D126,NbDeci)),S125))</f>
        <v>6664</v>
      </c>
      <c r="T126" s="1"/>
      <c r="U126" s="1"/>
      <c r="V126" s="1"/>
      <c r="W126" s="1"/>
      <c r="X126" s="1"/>
      <c r="Y126" s="1"/>
      <c r="Z126" s="1"/>
      <c r="AA126" s="1"/>
    </row>
    <row r="127" ht="12.75" customHeight="1">
      <c r="A127" s="1"/>
      <c r="B127" s="140"/>
      <c r="C127" s="141"/>
      <c r="D127" s="142"/>
      <c r="E127" s="143"/>
      <c r="F127" s="144"/>
      <c r="G127" s="1"/>
      <c r="H127" s="131" t="str">
        <f t="shared" si="4"/>
        <v/>
      </c>
      <c r="I127" s="132" t="str">
        <f>IF(L127&gt;0,NbEch+Différé+1-H127,"")</f>
        <v/>
      </c>
      <c r="J127" s="145" t="str">
        <f t="shared" si="2"/>
        <v/>
      </c>
      <c r="K127" s="146" t="str">
        <f>IF(L127=0,"",IF(Ijour=0,MIN(DATE(YEAR(DebAmort),MONTH(DebAmort)+(H127-1)*Imois,Jour1),DATE(YEAR(DebAmort),MONTH(DebAmort)+1+(H127-1)*Imois,0)),DATE(YEAR(DebAmort),MONTH(DebAmort),Jour1+(H127-1)*Ijour)))</f>
        <v/>
      </c>
      <c r="L127" s="147">
        <f t="shared" si="5"/>
        <v>0</v>
      </c>
      <c r="M127" s="135">
        <f>IF(H127&lt;=NoEchMaxi,ROUND(L127*R127,NbDeci),0)</f>
        <v>0</v>
      </c>
      <c r="N127" s="134">
        <f>IF(OR(H127&lt;=Différé,H127&gt;NoEchMaxi),IF(DiffTotal,-M127,0),IF(H127&gt;=NoEchRemb,L127,IF(S127-(M127*EchFIXE)&gt;L127-2,L127,S127-(M127*EchFIXE))))+C127</f>
        <v>0</v>
      </c>
      <c r="O127" s="136">
        <f>IF(OR(L127=0,H127&gt;NoEchMaxi),0,ROUND(FraisF+FraisV*L127,NbDeci))+F127</f>
        <v>0</v>
      </c>
      <c r="P127" s="148">
        <f t="shared" si="3"/>
        <v>0</v>
      </c>
      <c r="Q127" s="1"/>
      <c r="R127" s="138">
        <f>IF(B127&gt;0,IF(TauxActuariel,((B127+1)^(1/NbEchAn))-1,B127/NbEchAn),R126)</f>
        <v>0.04</v>
      </c>
      <c r="S127" s="139">
        <f>IF(E127&gt;0,E127,IF(D127&gt;0,IF(AND(EchFIXE,R127&gt;0),ROUND((L127-C127)*R127/(1-((1+R127)^-D127)),NbDeci),ROUND(L127/D127,NbDeci)),S126))</f>
        <v>6664</v>
      </c>
      <c r="T127" s="1"/>
      <c r="U127" s="1"/>
      <c r="V127" s="1"/>
      <c r="W127" s="1"/>
      <c r="X127" s="1"/>
      <c r="Y127" s="1"/>
      <c r="Z127" s="1"/>
      <c r="AA127" s="1"/>
    </row>
    <row r="128" ht="12.75" customHeight="1">
      <c r="A128" s="1"/>
      <c r="B128" s="140"/>
      <c r="C128" s="141"/>
      <c r="D128" s="142"/>
      <c r="E128" s="143"/>
      <c r="F128" s="144"/>
      <c r="G128" s="1"/>
      <c r="H128" s="131" t="str">
        <f t="shared" si="4"/>
        <v/>
      </c>
      <c r="I128" s="132" t="str">
        <f>IF(L128&gt;0,NbEch+Différé+1-H128,"")</f>
        <v/>
      </c>
      <c r="J128" s="145" t="str">
        <f t="shared" si="2"/>
        <v/>
      </c>
      <c r="K128" s="146" t="str">
        <f>IF(L128=0,"",IF(Ijour=0,MIN(DATE(YEAR(DebAmort),MONTH(DebAmort)+MoisD+(H128-1)*Imois,Jour2),DATE(YEAR(DebAmort),MONTH(DebAmort)+MoisD+1+(H128-1)*Imois,0)),DATE(YEAR(DebAmort),MONTH(DebAmort),Jour1+(H128-1)*Ijour)))</f>
        <v/>
      </c>
      <c r="L128" s="147">
        <f t="shared" si="5"/>
        <v>0</v>
      </c>
      <c r="M128" s="135">
        <f>IF(H128&lt;=NoEchMaxi,ROUND(L128*R128,NbDeci),0)</f>
        <v>0</v>
      </c>
      <c r="N128" s="134">
        <f>IF(OR(H128&lt;=Différé,H128&gt;NoEchMaxi),IF(DiffTotal,-M128,0),IF(H128&gt;=NoEchRemb,L128,IF(S128-(M128*EchFIXE)&gt;L128-2,L128,S128-(M128*EchFIXE))))+C128</f>
        <v>0</v>
      </c>
      <c r="O128" s="136">
        <f>IF(OR(L128=0,H128&gt;NoEchMaxi),0,ROUND(FraisF+FraisV*L128,NbDeci))+F128</f>
        <v>0</v>
      </c>
      <c r="P128" s="148">
        <f t="shared" si="3"/>
        <v>0</v>
      </c>
      <c r="Q128" s="1"/>
      <c r="R128" s="138">
        <f>IF(B128&gt;0,IF(TauxActuariel,((B128+1)^(1/NbEchAn))-1,B128/NbEchAn),R127)</f>
        <v>0.04</v>
      </c>
      <c r="S128" s="139">
        <f>IF(E128&gt;0,E128,IF(D128&gt;0,IF(AND(EchFIXE,R128&gt;0),ROUND((L128-C128)*R128/(1-((1+R128)^-D128)),NbDeci),ROUND(L128/D128,NbDeci)),S127))</f>
        <v>6664</v>
      </c>
      <c r="T128" s="1"/>
      <c r="U128" s="1"/>
      <c r="V128" s="1"/>
      <c r="W128" s="1"/>
      <c r="X128" s="1"/>
      <c r="Y128" s="1"/>
      <c r="Z128" s="1"/>
      <c r="AA128" s="1"/>
    </row>
    <row r="129" ht="12.75" customHeight="1">
      <c r="A129" s="1"/>
      <c r="B129" s="140"/>
      <c r="C129" s="141"/>
      <c r="D129" s="142"/>
      <c r="E129" s="143"/>
      <c r="F129" s="144"/>
      <c r="G129" s="1"/>
      <c r="H129" s="131" t="str">
        <f t="shared" si="4"/>
        <v/>
      </c>
      <c r="I129" s="132" t="str">
        <f>IF(L129&gt;0,NbEch+Différé+1-H129,"")</f>
        <v/>
      </c>
      <c r="J129" s="145" t="str">
        <f t="shared" si="2"/>
        <v/>
      </c>
      <c r="K129" s="146" t="str">
        <f>IF(L129=0,"",IF(Ijour=0,MIN(DATE(YEAR(DebAmort),MONTH(DebAmort)+(H129-1)*Imois,Jour1),DATE(YEAR(DebAmort),MONTH(DebAmort)+1+(H129-1)*Imois,0)),DATE(YEAR(DebAmort),MONTH(DebAmort),Jour1+(H129-1)*Ijour)))</f>
        <v/>
      </c>
      <c r="L129" s="147">
        <f t="shared" si="5"/>
        <v>0</v>
      </c>
      <c r="M129" s="135">
        <f>IF(H129&lt;=NoEchMaxi,ROUND(L129*R129,NbDeci),0)</f>
        <v>0</v>
      </c>
      <c r="N129" s="134">
        <f>IF(OR(H129&lt;=Différé,H129&gt;NoEchMaxi),IF(DiffTotal,-M129,0),IF(H129&gt;=NoEchRemb,L129,IF(S129-(M129*EchFIXE)&gt;L129-2,L129,S129-(M129*EchFIXE))))+C129</f>
        <v>0</v>
      </c>
      <c r="O129" s="136">
        <f>IF(OR(L129=0,H129&gt;NoEchMaxi),0,ROUND(FraisF+FraisV*L129,NbDeci))+F129</f>
        <v>0</v>
      </c>
      <c r="P129" s="148">
        <f t="shared" si="3"/>
        <v>0</v>
      </c>
      <c r="Q129" s="1"/>
      <c r="R129" s="138">
        <f>IF(B129&gt;0,IF(TauxActuariel,((B129+1)^(1/NbEchAn))-1,B129/NbEchAn),R128)</f>
        <v>0.04</v>
      </c>
      <c r="S129" s="139">
        <f>IF(E129&gt;0,E129,IF(D129&gt;0,IF(AND(EchFIXE,R129&gt;0),ROUND((L129-C129)*R129/(1-((1+R129)^-D129)),NbDeci),ROUND(L129/D129,NbDeci)),S128))</f>
        <v>6664</v>
      </c>
      <c r="T129" s="1"/>
      <c r="U129" s="1"/>
      <c r="V129" s="1"/>
      <c r="W129" s="1"/>
      <c r="X129" s="1"/>
      <c r="Y129" s="1"/>
      <c r="Z129" s="1"/>
      <c r="AA129" s="1"/>
    </row>
    <row r="130" ht="12.75" customHeight="1">
      <c r="A130" s="1"/>
      <c r="B130" s="140"/>
      <c r="C130" s="141"/>
      <c r="D130" s="142"/>
      <c r="E130" s="143"/>
      <c r="F130" s="144"/>
      <c r="G130" s="1"/>
      <c r="H130" s="131" t="str">
        <f t="shared" si="4"/>
        <v/>
      </c>
      <c r="I130" s="132" t="str">
        <f>IF(L130&gt;0,NbEch+Différé+1-H130,"")</f>
        <v/>
      </c>
      <c r="J130" s="145" t="str">
        <f t="shared" si="2"/>
        <v/>
      </c>
      <c r="K130" s="146" t="str">
        <f>IF(L130=0,"",IF(Ijour=0,MIN(DATE(YEAR(DebAmort),MONTH(DebAmort)+MoisD+(H130-1)*Imois,Jour2),DATE(YEAR(DebAmort),MONTH(DebAmort)+MoisD+1+(H130-1)*Imois,0)),DATE(YEAR(DebAmort),MONTH(DebAmort),Jour1+(H130-1)*Ijour)))</f>
        <v/>
      </c>
      <c r="L130" s="147">
        <f t="shared" si="5"/>
        <v>0</v>
      </c>
      <c r="M130" s="135">
        <f>IF(H130&lt;=NoEchMaxi,ROUND(L130*R130,NbDeci),0)</f>
        <v>0</v>
      </c>
      <c r="N130" s="134">
        <f>IF(OR(H130&lt;=Différé,H130&gt;NoEchMaxi),IF(DiffTotal,-M130,0),IF(H130&gt;=NoEchRemb,L130,IF(S130-(M130*EchFIXE)&gt;L130-2,L130,S130-(M130*EchFIXE))))+C130</f>
        <v>0</v>
      </c>
      <c r="O130" s="136">
        <f>IF(OR(L130=0,H130&gt;NoEchMaxi),0,ROUND(FraisF+FraisV*L130,NbDeci))+F130</f>
        <v>0</v>
      </c>
      <c r="P130" s="148">
        <f t="shared" si="3"/>
        <v>0</v>
      </c>
      <c r="Q130" s="1"/>
      <c r="R130" s="138">
        <f>IF(B130&gt;0,IF(TauxActuariel,((B130+1)^(1/NbEchAn))-1,B130/NbEchAn),R129)</f>
        <v>0.04</v>
      </c>
      <c r="S130" s="139">
        <f>IF(E130&gt;0,E130,IF(D130&gt;0,IF(AND(EchFIXE,R130&gt;0),ROUND((L130-C130)*R130/(1-((1+R130)^-D130)),NbDeci),ROUND(L130/D130,NbDeci)),S129))</f>
        <v>6664</v>
      </c>
      <c r="T130" s="1"/>
      <c r="U130" s="1"/>
      <c r="V130" s="1"/>
      <c r="W130" s="1"/>
      <c r="X130" s="1"/>
      <c r="Y130" s="1"/>
      <c r="Z130" s="1"/>
      <c r="AA130" s="1"/>
    </row>
    <row r="131" ht="12.75" customHeight="1">
      <c r="A131" s="1"/>
      <c r="B131" s="140"/>
      <c r="C131" s="141"/>
      <c r="D131" s="142"/>
      <c r="E131" s="143"/>
      <c r="F131" s="144"/>
      <c r="G131" s="1"/>
      <c r="H131" s="131" t="str">
        <f t="shared" si="4"/>
        <v/>
      </c>
      <c r="I131" s="132" t="str">
        <f>IF(L131&gt;0,NbEch+Différé+1-H131,"")</f>
        <v/>
      </c>
      <c r="J131" s="145" t="str">
        <f t="shared" si="2"/>
        <v/>
      </c>
      <c r="K131" s="146" t="str">
        <f>IF(L131=0,"",IF(Ijour=0,MIN(DATE(YEAR(DebAmort),MONTH(DebAmort)+(H131-1)*Imois,Jour1),DATE(YEAR(DebAmort),MONTH(DebAmort)+1+(H131-1)*Imois,0)),DATE(YEAR(DebAmort),MONTH(DebAmort),Jour1+(H131-1)*Ijour)))</f>
        <v/>
      </c>
      <c r="L131" s="147">
        <f t="shared" si="5"/>
        <v>0</v>
      </c>
      <c r="M131" s="135">
        <f>IF(H131&lt;=NoEchMaxi,ROUND(L131*R131,NbDeci),0)</f>
        <v>0</v>
      </c>
      <c r="N131" s="134">
        <f>IF(OR(H131&lt;=Différé,H131&gt;NoEchMaxi),IF(DiffTotal,-M131,0),IF(H131&gt;=NoEchRemb,L131,IF(S131-(M131*EchFIXE)&gt;L131-2,L131,S131-(M131*EchFIXE))))+C131</f>
        <v>0</v>
      </c>
      <c r="O131" s="136">
        <f>IF(OR(L131=0,H131&gt;NoEchMaxi),0,ROUND(FraisF+FraisV*L131,NbDeci))+F131</f>
        <v>0</v>
      </c>
      <c r="P131" s="148">
        <f t="shared" si="3"/>
        <v>0</v>
      </c>
      <c r="Q131" s="1"/>
      <c r="R131" s="138">
        <f>IF(B131&gt;0,IF(TauxActuariel,((B131+1)^(1/NbEchAn))-1,B131/NbEchAn),R130)</f>
        <v>0.04</v>
      </c>
      <c r="S131" s="139">
        <f>IF(E131&gt;0,E131,IF(D131&gt;0,IF(AND(EchFIXE,R131&gt;0),ROUND((L131-C131)*R131/(1-((1+R131)^-D131)),NbDeci),ROUND(L131/D131,NbDeci)),S130))</f>
        <v>6664</v>
      </c>
      <c r="T131" s="1"/>
      <c r="U131" s="1"/>
      <c r="V131" s="1"/>
      <c r="W131" s="1"/>
      <c r="X131" s="1"/>
      <c r="Y131" s="1"/>
      <c r="Z131" s="1"/>
      <c r="AA131" s="1"/>
    </row>
    <row r="132" ht="12.75" customHeight="1">
      <c r="A132" s="1"/>
      <c r="B132" s="140"/>
      <c r="C132" s="141"/>
      <c r="D132" s="142"/>
      <c r="E132" s="143"/>
      <c r="F132" s="144"/>
      <c r="G132" s="1"/>
      <c r="H132" s="131" t="str">
        <f t="shared" si="4"/>
        <v/>
      </c>
      <c r="I132" s="132" t="str">
        <f>IF(L132&gt;0,NbEch+Différé+1-H132,"")</f>
        <v/>
      </c>
      <c r="J132" s="145" t="str">
        <f t="shared" si="2"/>
        <v/>
      </c>
      <c r="K132" s="146" t="str">
        <f>IF(L132=0,"",IF(Ijour=0,MIN(DATE(YEAR(DebAmort),MONTH(DebAmort)+MoisD+(H132-1)*Imois,Jour2),DATE(YEAR(DebAmort),MONTH(DebAmort)+MoisD+1+(H132-1)*Imois,0)),DATE(YEAR(DebAmort),MONTH(DebAmort),Jour1+(H132-1)*Ijour)))</f>
        <v/>
      </c>
      <c r="L132" s="147">
        <f t="shared" si="5"/>
        <v>0</v>
      </c>
      <c r="M132" s="135">
        <f>IF(H132&lt;=NoEchMaxi,ROUND(L132*R132,NbDeci),0)</f>
        <v>0</v>
      </c>
      <c r="N132" s="134">
        <f>IF(OR(H132&lt;=Différé,H132&gt;NoEchMaxi),IF(DiffTotal,-M132,0),IF(H132&gt;=NoEchRemb,L132,IF(S132-(M132*EchFIXE)&gt;L132-2,L132,S132-(M132*EchFIXE))))+C132</f>
        <v>0</v>
      </c>
      <c r="O132" s="136">
        <f>IF(OR(L132=0,H132&gt;NoEchMaxi),0,ROUND(FraisF+FraisV*L132,NbDeci))+F132</f>
        <v>0</v>
      </c>
      <c r="P132" s="148">
        <f t="shared" si="3"/>
        <v>0</v>
      </c>
      <c r="Q132" s="1"/>
      <c r="R132" s="138">
        <f>IF(B132&gt;0,IF(TauxActuariel,((B132+1)^(1/NbEchAn))-1,B132/NbEchAn),R131)</f>
        <v>0.04</v>
      </c>
      <c r="S132" s="139">
        <f>IF(E132&gt;0,E132,IF(D132&gt;0,IF(AND(EchFIXE,R132&gt;0),ROUND((L132-C132)*R132/(1-((1+R132)^-D132)),NbDeci),ROUND(L132/D132,NbDeci)),S131))</f>
        <v>6664</v>
      </c>
      <c r="T132" s="1"/>
      <c r="U132" s="1"/>
      <c r="V132" s="1"/>
      <c r="W132" s="1"/>
      <c r="X132" s="1"/>
      <c r="Y132" s="1"/>
      <c r="Z132" s="1"/>
      <c r="AA132" s="1"/>
    </row>
    <row r="133" ht="12.75" customHeight="1">
      <c r="A133" s="1"/>
      <c r="B133" s="140"/>
      <c r="C133" s="141"/>
      <c r="D133" s="142"/>
      <c r="E133" s="143"/>
      <c r="F133" s="144"/>
      <c r="G133" s="1"/>
      <c r="H133" s="131" t="str">
        <f t="shared" si="4"/>
        <v/>
      </c>
      <c r="I133" s="132" t="str">
        <f>IF(L133&gt;0,NbEch+Différé+1-H133,"")</f>
        <v/>
      </c>
      <c r="J133" s="145" t="str">
        <f t="shared" si="2"/>
        <v/>
      </c>
      <c r="K133" s="146" t="str">
        <f>IF(L133=0,"",IF(Ijour=0,MIN(DATE(YEAR(DebAmort),MONTH(DebAmort)+(H133-1)*Imois,Jour1),DATE(YEAR(DebAmort),MONTH(DebAmort)+1+(H133-1)*Imois,0)),DATE(YEAR(DebAmort),MONTH(DebAmort),Jour1+(H133-1)*Ijour)))</f>
        <v/>
      </c>
      <c r="L133" s="147">
        <f t="shared" si="5"/>
        <v>0</v>
      </c>
      <c r="M133" s="135">
        <f>IF(H133&lt;=NoEchMaxi,ROUND(L133*R133,NbDeci),0)</f>
        <v>0</v>
      </c>
      <c r="N133" s="134">
        <f>IF(OR(H133&lt;=Différé,H133&gt;NoEchMaxi),IF(DiffTotal,-M133,0),IF(H133&gt;=NoEchRemb,L133,IF(S133-(M133*EchFIXE)&gt;L133-2,L133,S133-(M133*EchFIXE))))+C133</f>
        <v>0</v>
      </c>
      <c r="O133" s="136">
        <f>IF(OR(L133=0,H133&gt;NoEchMaxi),0,ROUND(FraisF+FraisV*L133,NbDeci))+F133</f>
        <v>0</v>
      </c>
      <c r="P133" s="148">
        <f t="shared" si="3"/>
        <v>0</v>
      </c>
      <c r="Q133" s="1"/>
      <c r="R133" s="138">
        <f>IF(B133&gt;0,IF(TauxActuariel,((B133+1)^(1/NbEchAn))-1,B133/NbEchAn),R132)</f>
        <v>0.04</v>
      </c>
      <c r="S133" s="139">
        <f>IF(E133&gt;0,E133,IF(D133&gt;0,IF(AND(EchFIXE,R133&gt;0),ROUND((L133-C133)*R133/(1-((1+R133)^-D133)),NbDeci),ROUND(L133/D133,NbDeci)),S132))</f>
        <v>6664</v>
      </c>
      <c r="T133" s="1"/>
      <c r="U133" s="1"/>
      <c r="V133" s="1"/>
      <c r="W133" s="1"/>
      <c r="X133" s="1"/>
      <c r="Y133" s="1"/>
      <c r="Z133" s="1"/>
      <c r="AA133" s="1"/>
    </row>
    <row r="134" ht="12.75" customHeight="1">
      <c r="A134" s="1"/>
      <c r="B134" s="140"/>
      <c r="C134" s="141"/>
      <c r="D134" s="142"/>
      <c r="E134" s="143"/>
      <c r="F134" s="144"/>
      <c r="G134" s="1"/>
      <c r="H134" s="131" t="str">
        <f t="shared" si="4"/>
        <v/>
      </c>
      <c r="I134" s="132" t="str">
        <f>IF(L134&gt;0,NbEch+Différé+1-H134,"")</f>
        <v/>
      </c>
      <c r="J134" s="145" t="str">
        <f t="shared" si="2"/>
        <v/>
      </c>
      <c r="K134" s="146" t="str">
        <f>IF(L134=0,"",IF(Ijour=0,MIN(DATE(YEAR(DebAmort),MONTH(DebAmort)+MoisD+(H134-1)*Imois,Jour2),DATE(YEAR(DebAmort),MONTH(DebAmort)+MoisD+1+(H134-1)*Imois,0)),DATE(YEAR(DebAmort),MONTH(DebAmort),Jour1+(H134-1)*Ijour)))</f>
        <v/>
      </c>
      <c r="L134" s="147">
        <f t="shared" si="5"/>
        <v>0</v>
      </c>
      <c r="M134" s="135">
        <f>IF(H134&lt;=NoEchMaxi,ROUND(L134*R134,NbDeci),0)</f>
        <v>0</v>
      </c>
      <c r="N134" s="134">
        <f>IF(OR(H134&lt;=Différé,H134&gt;NoEchMaxi),IF(DiffTotal,-M134,0),IF(H134&gt;=NoEchRemb,L134,IF(S134-(M134*EchFIXE)&gt;L134-2,L134,S134-(M134*EchFIXE))))+C134</f>
        <v>0</v>
      </c>
      <c r="O134" s="136">
        <f>IF(OR(L134=0,H134&gt;NoEchMaxi),0,ROUND(FraisF+FraisV*L134,NbDeci))+F134</f>
        <v>0</v>
      </c>
      <c r="P134" s="148">
        <f t="shared" si="3"/>
        <v>0</v>
      </c>
      <c r="Q134" s="1"/>
      <c r="R134" s="138">
        <f>IF(B134&gt;0,IF(TauxActuariel,((B134+1)^(1/NbEchAn))-1,B134/NbEchAn),R133)</f>
        <v>0.04</v>
      </c>
      <c r="S134" s="139">
        <f>IF(E134&gt;0,E134,IF(D134&gt;0,IF(AND(EchFIXE,R134&gt;0),ROUND((L134-C134)*R134/(1-((1+R134)^-D134)),NbDeci),ROUND(L134/D134,NbDeci)),S133))</f>
        <v>6664</v>
      </c>
      <c r="T134" s="1"/>
      <c r="U134" s="1"/>
      <c r="V134" s="1"/>
      <c r="W134" s="1"/>
      <c r="X134" s="1"/>
      <c r="Y134" s="1"/>
      <c r="Z134" s="1"/>
      <c r="AA134" s="1"/>
    </row>
    <row r="135" ht="12.75" customHeight="1">
      <c r="A135" s="1"/>
      <c r="B135" s="140"/>
      <c r="C135" s="141"/>
      <c r="D135" s="142"/>
      <c r="E135" s="143"/>
      <c r="F135" s="144"/>
      <c r="G135" s="1"/>
      <c r="H135" s="131" t="str">
        <f t="shared" si="4"/>
        <v/>
      </c>
      <c r="I135" s="132" t="str">
        <f>IF(L135&gt;0,NbEch+Différé+1-H135,"")</f>
        <v/>
      </c>
      <c r="J135" s="145" t="str">
        <f t="shared" si="2"/>
        <v/>
      </c>
      <c r="K135" s="146" t="str">
        <f>IF(L135=0,"",IF(Ijour=0,MIN(DATE(YEAR(DebAmort),MONTH(DebAmort)+(H135-1)*Imois,Jour1),DATE(YEAR(DebAmort),MONTH(DebAmort)+1+(H135-1)*Imois,0)),DATE(YEAR(DebAmort),MONTH(DebAmort),Jour1+(H135-1)*Ijour)))</f>
        <v/>
      </c>
      <c r="L135" s="147">
        <f t="shared" si="5"/>
        <v>0</v>
      </c>
      <c r="M135" s="135">
        <f>IF(H135&lt;=NoEchMaxi,ROUND(L135*R135,NbDeci),0)</f>
        <v>0</v>
      </c>
      <c r="N135" s="134">
        <f>IF(OR(H135&lt;=Différé,H135&gt;NoEchMaxi),IF(DiffTotal,-M135,0),IF(H135&gt;=NoEchRemb,L135,IF(S135-(M135*EchFIXE)&gt;L135-2,L135,S135-(M135*EchFIXE))))+C135</f>
        <v>0</v>
      </c>
      <c r="O135" s="136">
        <f>IF(OR(L135=0,H135&gt;NoEchMaxi),0,ROUND(FraisF+FraisV*L135,NbDeci))+F135</f>
        <v>0</v>
      </c>
      <c r="P135" s="148">
        <f t="shared" si="3"/>
        <v>0</v>
      </c>
      <c r="Q135" s="1"/>
      <c r="R135" s="138">
        <f>IF(B135&gt;0,IF(TauxActuariel,((B135+1)^(1/NbEchAn))-1,B135/NbEchAn),R134)</f>
        <v>0.04</v>
      </c>
      <c r="S135" s="139">
        <f>IF(E135&gt;0,E135,IF(D135&gt;0,IF(AND(EchFIXE,R135&gt;0),ROUND((L135-C135)*R135/(1-((1+R135)^-D135)),NbDeci),ROUND(L135/D135,NbDeci)),S134))</f>
        <v>6664</v>
      </c>
      <c r="T135" s="1"/>
      <c r="U135" s="1"/>
      <c r="V135" s="1"/>
      <c r="W135" s="1"/>
      <c r="X135" s="1"/>
      <c r="Y135" s="1"/>
      <c r="Z135" s="1"/>
      <c r="AA135" s="1"/>
    </row>
    <row r="136" ht="12.75" customHeight="1">
      <c r="A136" s="1"/>
      <c r="B136" s="140"/>
      <c r="C136" s="141"/>
      <c r="D136" s="142"/>
      <c r="E136" s="143"/>
      <c r="F136" s="144"/>
      <c r="G136" s="1"/>
      <c r="H136" s="131" t="str">
        <f t="shared" si="4"/>
        <v/>
      </c>
      <c r="I136" s="132" t="str">
        <f>IF(L136&gt;0,NbEch+Différé+1-H136,"")</f>
        <v/>
      </c>
      <c r="J136" s="145" t="str">
        <f t="shared" si="2"/>
        <v/>
      </c>
      <c r="K136" s="146" t="str">
        <f>IF(L136=0,"",IF(Ijour=0,MIN(DATE(YEAR(DebAmort),MONTH(DebAmort)+MoisD+(H136-1)*Imois,Jour2),DATE(YEAR(DebAmort),MONTH(DebAmort)+MoisD+1+(H136-1)*Imois,0)),DATE(YEAR(DebAmort),MONTH(DebAmort),Jour1+(H136-1)*Ijour)))</f>
        <v/>
      </c>
      <c r="L136" s="147">
        <f t="shared" si="5"/>
        <v>0</v>
      </c>
      <c r="M136" s="135">
        <f>IF(H136&lt;=NoEchMaxi,ROUND(L136*R136,NbDeci),0)</f>
        <v>0</v>
      </c>
      <c r="N136" s="134">
        <f>IF(OR(H136&lt;=Différé,H136&gt;NoEchMaxi),IF(DiffTotal,-M136,0),IF(H136&gt;=NoEchRemb,L136,IF(S136-(M136*EchFIXE)&gt;L136-2,L136,S136-(M136*EchFIXE))))+C136</f>
        <v>0</v>
      </c>
      <c r="O136" s="136">
        <f>IF(OR(L136=0,H136&gt;NoEchMaxi),0,ROUND(FraisF+FraisV*L136,NbDeci))+F136</f>
        <v>0</v>
      </c>
      <c r="P136" s="148">
        <f t="shared" si="3"/>
        <v>0</v>
      </c>
      <c r="Q136" s="1"/>
      <c r="R136" s="138">
        <f>IF(B136&gt;0,IF(TauxActuariel,((B136+1)^(1/NbEchAn))-1,B136/NbEchAn),R135)</f>
        <v>0.04</v>
      </c>
      <c r="S136" s="139">
        <f>IF(E136&gt;0,E136,IF(D136&gt;0,IF(AND(EchFIXE,R136&gt;0),ROUND((L136-C136)*R136/(1-((1+R136)^-D136)),NbDeci),ROUND(L136/D136,NbDeci)),S135))</f>
        <v>6664</v>
      </c>
      <c r="T136" s="1"/>
      <c r="U136" s="1"/>
      <c r="V136" s="1"/>
      <c r="W136" s="1"/>
      <c r="X136" s="1"/>
      <c r="Y136" s="1"/>
      <c r="Z136" s="1"/>
      <c r="AA136" s="1"/>
    </row>
    <row r="137" ht="12.75" customHeight="1">
      <c r="A137" s="1"/>
      <c r="B137" s="140"/>
      <c r="C137" s="141"/>
      <c r="D137" s="142"/>
      <c r="E137" s="143"/>
      <c r="F137" s="144"/>
      <c r="G137" s="1"/>
      <c r="H137" s="131" t="str">
        <f t="shared" si="4"/>
        <v/>
      </c>
      <c r="I137" s="132" t="str">
        <f>IF(L137&gt;0,NbEch+Différé+1-H137,"")</f>
        <v/>
      </c>
      <c r="J137" s="145" t="str">
        <f t="shared" si="2"/>
        <v/>
      </c>
      <c r="K137" s="146" t="str">
        <f>IF(L137=0,"",IF(Ijour=0,MIN(DATE(YEAR(DebAmort),MONTH(DebAmort)+(H137-1)*Imois,Jour1),DATE(YEAR(DebAmort),MONTH(DebAmort)+1+(H137-1)*Imois,0)),DATE(YEAR(DebAmort),MONTH(DebAmort),Jour1+(H137-1)*Ijour)))</f>
        <v/>
      </c>
      <c r="L137" s="147">
        <f t="shared" si="5"/>
        <v>0</v>
      </c>
      <c r="M137" s="135">
        <f>IF(H137&lt;=NoEchMaxi,ROUND(L137*R137,NbDeci),0)</f>
        <v>0</v>
      </c>
      <c r="N137" s="134">
        <f>IF(OR(H137&lt;=Différé,H137&gt;NoEchMaxi),IF(DiffTotal,-M137,0),IF(H137&gt;=NoEchRemb,L137,IF(S137-(M137*EchFIXE)&gt;L137-2,L137,S137-(M137*EchFIXE))))+C137</f>
        <v>0</v>
      </c>
      <c r="O137" s="136">
        <f>IF(OR(L137=0,H137&gt;NoEchMaxi),0,ROUND(FraisF+FraisV*L137,NbDeci))+F137</f>
        <v>0</v>
      </c>
      <c r="P137" s="148">
        <f t="shared" si="3"/>
        <v>0</v>
      </c>
      <c r="Q137" s="1"/>
      <c r="R137" s="138">
        <f>IF(B137&gt;0,IF(TauxActuariel,((B137+1)^(1/NbEchAn))-1,B137/NbEchAn),R136)</f>
        <v>0.04</v>
      </c>
      <c r="S137" s="139">
        <f>IF(E137&gt;0,E137,IF(D137&gt;0,IF(AND(EchFIXE,R137&gt;0),ROUND((L137-C137)*R137/(1-((1+R137)^-D137)),NbDeci),ROUND(L137/D137,NbDeci)),S136))</f>
        <v>6664</v>
      </c>
      <c r="T137" s="1"/>
      <c r="U137" s="1"/>
      <c r="V137" s="1"/>
      <c r="W137" s="1"/>
      <c r="X137" s="1"/>
      <c r="Y137" s="1"/>
      <c r="Z137" s="1"/>
      <c r="AA137" s="1"/>
    </row>
    <row r="138" ht="12.75" customHeight="1">
      <c r="A138" s="1"/>
      <c r="B138" s="140"/>
      <c r="C138" s="141"/>
      <c r="D138" s="142"/>
      <c r="E138" s="143"/>
      <c r="F138" s="144"/>
      <c r="G138" s="1"/>
      <c r="H138" s="131" t="str">
        <f t="shared" si="4"/>
        <v/>
      </c>
      <c r="I138" s="132" t="str">
        <f>IF(L138&gt;0,NbEch+Différé+1-H138,"")</f>
        <v/>
      </c>
      <c r="J138" s="145" t="str">
        <f t="shared" si="2"/>
        <v/>
      </c>
      <c r="K138" s="146" t="str">
        <f>IF(L138=0,"",IF(Ijour=0,MIN(DATE(YEAR(DebAmort),MONTH(DebAmort)+MoisD+(H138-1)*Imois,Jour2),DATE(YEAR(DebAmort),MONTH(DebAmort)+MoisD+1+(H138-1)*Imois,0)),DATE(YEAR(DebAmort),MONTH(DebAmort),Jour1+(H138-1)*Ijour)))</f>
        <v/>
      </c>
      <c r="L138" s="147">
        <f t="shared" si="5"/>
        <v>0</v>
      </c>
      <c r="M138" s="135">
        <f>IF(H138&lt;=NoEchMaxi,ROUND(L138*R138,NbDeci),0)</f>
        <v>0</v>
      </c>
      <c r="N138" s="134">
        <f>IF(OR(H138&lt;=Différé,H138&gt;NoEchMaxi),IF(DiffTotal,-M138,0),IF(H138&gt;=NoEchRemb,L138,IF(S138-(M138*EchFIXE)&gt;L138-2,L138,S138-(M138*EchFIXE))))+C138</f>
        <v>0</v>
      </c>
      <c r="O138" s="136">
        <f>IF(OR(L138=0,H138&gt;NoEchMaxi),0,ROUND(FraisF+FraisV*L138,NbDeci))+F138</f>
        <v>0</v>
      </c>
      <c r="P138" s="148">
        <f t="shared" si="3"/>
        <v>0</v>
      </c>
      <c r="Q138" s="1"/>
      <c r="R138" s="138">
        <f>IF(B138&gt;0,IF(TauxActuariel,((B138+1)^(1/NbEchAn))-1,B138/NbEchAn),R137)</f>
        <v>0.04</v>
      </c>
      <c r="S138" s="139">
        <f>IF(E138&gt;0,E138,IF(D138&gt;0,IF(AND(EchFIXE,R138&gt;0),ROUND((L138-C138)*R138/(1-((1+R138)^-D138)),NbDeci),ROUND(L138/D138,NbDeci)),S137))</f>
        <v>6664</v>
      </c>
      <c r="T138" s="1"/>
      <c r="U138" s="1"/>
      <c r="V138" s="1"/>
      <c r="W138" s="1"/>
      <c r="X138" s="1"/>
      <c r="Y138" s="1"/>
      <c r="Z138" s="1"/>
      <c r="AA138" s="1"/>
    </row>
    <row r="139" ht="12.75" customHeight="1">
      <c r="A139" s="1"/>
      <c r="B139" s="140"/>
      <c r="C139" s="141"/>
      <c r="D139" s="142"/>
      <c r="E139" s="143"/>
      <c r="F139" s="144"/>
      <c r="G139" s="1"/>
      <c r="H139" s="131" t="str">
        <f t="shared" si="4"/>
        <v/>
      </c>
      <c r="I139" s="132" t="str">
        <f>IF(L139&gt;0,NbEch+Différé+1-H139,"")</f>
        <v/>
      </c>
      <c r="J139" s="145" t="str">
        <f t="shared" si="2"/>
        <v/>
      </c>
      <c r="K139" s="146" t="str">
        <f>IF(L139=0,"",IF(Ijour=0,MIN(DATE(YEAR(DebAmort),MONTH(DebAmort)+(H139-1)*Imois,Jour1),DATE(YEAR(DebAmort),MONTH(DebAmort)+1+(H139-1)*Imois,0)),DATE(YEAR(DebAmort),MONTH(DebAmort),Jour1+(H139-1)*Ijour)))</f>
        <v/>
      </c>
      <c r="L139" s="147">
        <f t="shared" si="5"/>
        <v>0</v>
      </c>
      <c r="M139" s="135">
        <f>IF(H139&lt;=NoEchMaxi,ROUND(L139*R139,NbDeci),0)</f>
        <v>0</v>
      </c>
      <c r="N139" s="134">
        <f>IF(OR(H139&lt;=Différé,H139&gt;NoEchMaxi),IF(DiffTotal,-M139,0),IF(H139&gt;=NoEchRemb,L139,IF(S139-(M139*EchFIXE)&gt;L139-2,L139,S139-(M139*EchFIXE))))+C139</f>
        <v>0</v>
      </c>
      <c r="O139" s="136">
        <f>IF(OR(L139=0,H139&gt;NoEchMaxi),0,ROUND(FraisF+FraisV*L139,NbDeci))+F139</f>
        <v>0</v>
      </c>
      <c r="P139" s="148">
        <f t="shared" si="3"/>
        <v>0</v>
      </c>
      <c r="Q139" s="1"/>
      <c r="R139" s="138">
        <f>IF(B139&gt;0,IF(TauxActuariel,((B139+1)^(1/NbEchAn))-1,B139/NbEchAn),R138)</f>
        <v>0.04</v>
      </c>
      <c r="S139" s="139">
        <f>IF(E139&gt;0,E139,IF(D139&gt;0,IF(AND(EchFIXE,R139&gt;0),ROUND((L139-C139)*R139/(1-((1+R139)^-D139)),NbDeci),ROUND(L139/D139,NbDeci)),S138))</f>
        <v>6664</v>
      </c>
      <c r="T139" s="1"/>
      <c r="U139" s="1"/>
      <c r="V139" s="1"/>
      <c r="W139" s="1"/>
      <c r="X139" s="1"/>
      <c r="Y139" s="1"/>
      <c r="Z139" s="1"/>
      <c r="AA139" s="1"/>
    </row>
    <row r="140" ht="12.75" customHeight="1">
      <c r="A140" s="1"/>
      <c r="B140" s="140"/>
      <c r="C140" s="141"/>
      <c r="D140" s="142"/>
      <c r="E140" s="143"/>
      <c r="F140" s="144"/>
      <c r="G140" s="1"/>
      <c r="H140" s="131" t="str">
        <f t="shared" si="4"/>
        <v/>
      </c>
      <c r="I140" s="132" t="str">
        <f>IF(L140&gt;0,NbEch+Différé+1-H140,"")</f>
        <v/>
      </c>
      <c r="J140" s="145" t="str">
        <f t="shared" si="2"/>
        <v/>
      </c>
      <c r="K140" s="146" t="str">
        <f>IF(L140=0,"",IF(Ijour=0,MIN(DATE(YEAR(DebAmort),MONTH(DebAmort)+MoisD+(H140-1)*Imois,Jour2),DATE(YEAR(DebAmort),MONTH(DebAmort)+MoisD+1+(H140-1)*Imois,0)),DATE(YEAR(DebAmort),MONTH(DebAmort),Jour1+(H140-1)*Ijour)))</f>
        <v/>
      </c>
      <c r="L140" s="147">
        <f t="shared" si="5"/>
        <v>0</v>
      </c>
      <c r="M140" s="135">
        <f>IF(H140&lt;=NoEchMaxi,ROUND(L140*R140,NbDeci),0)</f>
        <v>0</v>
      </c>
      <c r="N140" s="134">
        <f>IF(OR(H140&lt;=Différé,H140&gt;NoEchMaxi),IF(DiffTotal,-M140,0),IF(H140&gt;=NoEchRemb,L140,IF(S140-(M140*EchFIXE)&gt;L140-2,L140,S140-(M140*EchFIXE))))+C140</f>
        <v>0</v>
      </c>
      <c r="O140" s="136">
        <f>IF(OR(L140=0,H140&gt;NoEchMaxi),0,ROUND(FraisF+FraisV*L140,NbDeci))+F140</f>
        <v>0</v>
      </c>
      <c r="P140" s="148">
        <f t="shared" si="3"/>
        <v>0</v>
      </c>
      <c r="Q140" s="1"/>
      <c r="R140" s="138">
        <f>IF(B140&gt;0,IF(TauxActuariel,((B140+1)^(1/NbEchAn))-1,B140/NbEchAn),R139)</f>
        <v>0.04</v>
      </c>
      <c r="S140" s="139">
        <f>IF(E140&gt;0,E140,IF(D140&gt;0,IF(AND(EchFIXE,R140&gt;0),ROUND((L140-C140)*R140/(1-((1+R140)^-D140)),NbDeci),ROUND(L140/D140,NbDeci)),S139))</f>
        <v>6664</v>
      </c>
      <c r="T140" s="1"/>
      <c r="U140" s="1"/>
      <c r="V140" s="1"/>
      <c r="W140" s="1"/>
      <c r="X140" s="1"/>
      <c r="Y140" s="1"/>
      <c r="Z140" s="1"/>
      <c r="AA140" s="1"/>
    </row>
    <row r="141" ht="12.75" customHeight="1">
      <c r="A141" s="1"/>
      <c r="B141" s="140"/>
      <c r="C141" s="141"/>
      <c r="D141" s="142"/>
      <c r="E141" s="143"/>
      <c r="F141" s="144"/>
      <c r="G141" s="1"/>
      <c r="H141" s="131" t="str">
        <f t="shared" si="4"/>
        <v/>
      </c>
      <c r="I141" s="132" t="str">
        <f>IF(L141&gt;0,NbEch+Différé+1-H141,"")</f>
        <v/>
      </c>
      <c r="J141" s="145" t="str">
        <f t="shared" si="2"/>
        <v/>
      </c>
      <c r="K141" s="146" t="str">
        <f>IF(L141=0,"",IF(Ijour=0,MIN(DATE(YEAR(DebAmort),MONTH(DebAmort)+(H141-1)*Imois,Jour1),DATE(YEAR(DebAmort),MONTH(DebAmort)+1+(H141-1)*Imois,0)),DATE(YEAR(DebAmort),MONTH(DebAmort),Jour1+(H141-1)*Ijour)))</f>
        <v/>
      </c>
      <c r="L141" s="147">
        <f t="shared" si="5"/>
        <v>0</v>
      </c>
      <c r="M141" s="135">
        <f>IF(H141&lt;=NoEchMaxi,ROUND(L141*R141,NbDeci),0)</f>
        <v>0</v>
      </c>
      <c r="N141" s="134">
        <f>IF(OR(H141&lt;=Différé,H141&gt;NoEchMaxi),IF(DiffTotal,-M141,0),IF(H141&gt;=NoEchRemb,L141,IF(S141-(M141*EchFIXE)&gt;L141-2,L141,S141-(M141*EchFIXE))))+C141</f>
        <v>0</v>
      </c>
      <c r="O141" s="136">
        <f>IF(OR(L141=0,H141&gt;NoEchMaxi),0,ROUND(FraisF+FraisV*L141,NbDeci))+F141</f>
        <v>0</v>
      </c>
      <c r="P141" s="148">
        <f t="shared" si="3"/>
        <v>0</v>
      </c>
      <c r="Q141" s="1"/>
      <c r="R141" s="138">
        <f>IF(B141&gt;0,IF(TauxActuariel,((B141+1)^(1/NbEchAn))-1,B141/NbEchAn),R140)</f>
        <v>0.04</v>
      </c>
      <c r="S141" s="139">
        <f>IF(E141&gt;0,E141,IF(D141&gt;0,IF(AND(EchFIXE,R141&gt;0),ROUND((L141-C141)*R141/(1-((1+R141)^-D141)),NbDeci),ROUND(L141/D141,NbDeci)),S140))</f>
        <v>6664</v>
      </c>
      <c r="T141" s="1"/>
      <c r="U141" s="1"/>
      <c r="V141" s="1"/>
      <c r="W141" s="1"/>
      <c r="X141" s="1"/>
      <c r="Y141" s="1"/>
      <c r="Z141" s="1"/>
      <c r="AA141" s="1"/>
    </row>
    <row r="142" ht="12.75" customHeight="1">
      <c r="A142" s="1"/>
      <c r="B142" s="140"/>
      <c r="C142" s="141"/>
      <c r="D142" s="142"/>
      <c r="E142" s="143"/>
      <c r="F142" s="144"/>
      <c r="G142" s="1"/>
      <c r="H142" s="131" t="str">
        <f t="shared" si="4"/>
        <v/>
      </c>
      <c r="I142" s="132" t="str">
        <f>IF(L142&gt;0,NbEch+Différé+1-H142,"")</f>
        <v/>
      </c>
      <c r="J142" s="145" t="str">
        <f t="shared" si="2"/>
        <v/>
      </c>
      <c r="K142" s="146" t="str">
        <f>IF(L142=0,"",IF(Ijour=0,MIN(DATE(YEAR(DebAmort),MONTH(DebAmort)+MoisD+(H142-1)*Imois,Jour2),DATE(YEAR(DebAmort),MONTH(DebAmort)+MoisD+1+(H142-1)*Imois,0)),DATE(YEAR(DebAmort),MONTH(DebAmort),Jour1+(H142-1)*Ijour)))</f>
        <v/>
      </c>
      <c r="L142" s="147">
        <f t="shared" si="5"/>
        <v>0</v>
      </c>
      <c r="M142" s="135">
        <f>IF(H142&lt;=NoEchMaxi,ROUND(L142*R142,NbDeci),0)</f>
        <v>0</v>
      </c>
      <c r="N142" s="134">
        <f>IF(OR(H142&lt;=Différé,H142&gt;NoEchMaxi),IF(DiffTotal,-M142,0),IF(H142&gt;=NoEchRemb,L142,IF(S142-(M142*EchFIXE)&gt;L142-2,L142,S142-(M142*EchFIXE))))+C142</f>
        <v>0</v>
      </c>
      <c r="O142" s="136">
        <f>IF(OR(L142=0,H142&gt;NoEchMaxi),0,ROUND(FraisF+FraisV*L142,NbDeci))+F142</f>
        <v>0</v>
      </c>
      <c r="P142" s="148">
        <f t="shared" si="3"/>
        <v>0</v>
      </c>
      <c r="Q142" s="1"/>
      <c r="R142" s="138">
        <f>IF(B142&gt;0,IF(TauxActuariel,((B142+1)^(1/NbEchAn))-1,B142/NbEchAn),R141)</f>
        <v>0.04</v>
      </c>
      <c r="S142" s="139">
        <f>IF(E142&gt;0,E142,IF(D142&gt;0,IF(AND(EchFIXE,R142&gt;0),ROUND((L142-C142)*R142/(1-((1+R142)^-D142)),NbDeci),ROUND(L142/D142,NbDeci)),S141))</f>
        <v>6664</v>
      </c>
      <c r="T142" s="1"/>
      <c r="U142" s="1"/>
      <c r="V142" s="1"/>
      <c r="W142" s="1"/>
      <c r="X142" s="1"/>
      <c r="Y142" s="1"/>
      <c r="Z142" s="1"/>
      <c r="AA142" s="1"/>
    </row>
    <row r="143" ht="12.75" customHeight="1">
      <c r="A143" s="1"/>
      <c r="B143" s="140"/>
      <c r="C143" s="141"/>
      <c r="D143" s="142"/>
      <c r="E143" s="143"/>
      <c r="F143" s="144"/>
      <c r="G143" s="1"/>
      <c r="H143" s="131" t="str">
        <f t="shared" si="4"/>
        <v/>
      </c>
      <c r="I143" s="132" t="str">
        <f>IF(L143&gt;0,NbEch+Différé+1-H143,"")</f>
        <v/>
      </c>
      <c r="J143" s="145" t="str">
        <f t="shared" si="2"/>
        <v/>
      </c>
      <c r="K143" s="146" t="str">
        <f>IF(L143=0,"",IF(Ijour=0,MIN(DATE(YEAR(DebAmort),MONTH(DebAmort)+(H143-1)*Imois,Jour1),DATE(YEAR(DebAmort),MONTH(DebAmort)+1+(H143-1)*Imois,0)),DATE(YEAR(DebAmort),MONTH(DebAmort),Jour1+(H143-1)*Ijour)))</f>
        <v/>
      </c>
      <c r="L143" s="147">
        <f t="shared" si="5"/>
        <v>0</v>
      </c>
      <c r="M143" s="135">
        <f>IF(H143&lt;=NoEchMaxi,ROUND(L143*R143,NbDeci),0)</f>
        <v>0</v>
      </c>
      <c r="N143" s="134">
        <f>IF(OR(H143&lt;=Différé,H143&gt;NoEchMaxi),IF(DiffTotal,-M143,0),IF(H143&gt;=NoEchRemb,L143,IF(S143-(M143*EchFIXE)&gt;L143-2,L143,S143-(M143*EchFIXE))))+C143</f>
        <v>0</v>
      </c>
      <c r="O143" s="136">
        <f>IF(OR(L143=0,H143&gt;NoEchMaxi),0,ROUND(FraisF+FraisV*L143,NbDeci))+F143</f>
        <v>0</v>
      </c>
      <c r="P143" s="148">
        <f t="shared" si="3"/>
        <v>0</v>
      </c>
      <c r="Q143" s="1"/>
      <c r="R143" s="138">
        <f>IF(B143&gt;0,IF(TauxActuariel,((B143+1)^(1/NbEchAn))-1,B143/NbEchAn),R142)</f>
        <v>0.04</v>
      </c>
      <c r="S143" s="139">
        <f>IF(E143&gt;0,E143,IF(D143&gt;0,IF(AND(EchFIXE,R143&gt;0),ROUND((L143-C143)*R143/(1-((1+R143)^-D143)),NbDeci),ROUND(L143/D143,NbDeci)),S142))</f>
        <v>6664</v>
      </c>
      <c r="T143" s="1"/>
      <c r="U143" s="1"/>
      <c r="V143" s="1"/>
      <c r="W143" s="1"/>
      <c r="X143" s="1"/>
      <c r="Y143" s="1"/>
      <c r="Z143" s="1"/>
      <c r="AA143" s="1"/>
    </row>
    <row r="144" ht="12.75" customHeight="1">
      <c r="A144" s="1"/>
      <c r="B144" s="140"/>
      <c r="C144" s="141"/>
      <c r="D144" s="142"/>
      <c r="E144" s="143"/>
      <c r="F144" s="144"/>
      <c r="G144" s="1"/>
      <c r="H144" s="131" t="str">
        <f t="shared" si="4"/>
        <v/>
      </c>
      <c r="I144" s="132" t="str">
        <f>IF(L144&gt;0,NbEch+Différé+1-H144,"")</f>
        <v/>
      </c>
      <c r="J144" s="145" t="str">
        <f t="shared" si="2"/>
        <v/>
      </c>
      <c r="K144" s="146" t="str">
        <f>IF(L144=0,"",IF(Ijour=0,MIN(DATE(YEAR(DebAmort),MONTH(DebAmort)+MoisD+(H144-1)*Imois,Jour2),DATE(YEAR(DebAmort),MONTH(DebAmort)+MoisD+1+(H144-1)*Imois,0)),DATE(YEAR(DebAmort),MONTH(DebAmort),Jour1+(H144-1)*Ijour)))</f>
        <v/>
      </c>
      <c r="L144" s="147">
        <f t="shared" si="5"/>
        <v>0</v>
      </c>
      <c r="M144" s="135">
        <f>IF(H144&lt;=NoEchMaxi,ROUND(L144*R144,NbDeci),0)</f>
        <v>0</v>
      </c>
      <c r="N144" s="134">
        <f>IF(OR(H144&lt;=Différé,H144&gt;NoEchMaxi),IF(DiffTotal,-M144,0),IF(H144&gt;=NoEchRemb,L144,IF(S144-(M144*EchFIXE)&gt;L144-2,L144,S144-(M144*EchFIXE))))+C144</f>
        <v>0</v>
      </c>
      <c r="O144" s="136">
        <f>IF(OR(L144=0,H144&gt;NoEchMaxi),0,ROUND(FraisF+FraisV*L144,NbDeci))+F144</f>
        <v>0</v>
      </c>
      <c r="P144" s="148">
        <f t="shared" si="3"/>
        <v>0</v>
      </c>
      <c r="Q144" s="1"/>
      <c r="R144" s="138">
        <f>IF(B144&gt;0,IF(TauxActuariel,((B144+1)^(1/NbEchAn))-1,B144/NbEchAn),R143)</f>
        <v>0.04</v>
      </c>
      <c r="S144" s="139">
        <f>IF(E144&gt;0,E144,IF(D144&gt;0,IF(AND(EchFIXE,R144&gt;0),ROUND((L144-C144)*R144/(1-((1+R144)^-D144)),NbDeci),ROUND(L144/D144,NbDeci)),S143))</f>
        <v>6664</v>
      </c>
      <c r="T144" s="1"/>
      <c r="U144" s="1"/>
      <c r="V144" s="1"/>
      <c r="W144" s="1"/>
      <c r="X144" s="1"/>
      <c r="Y144" s="1"/>
      <c r="Z144" s="1"/>
      <c r="AA144" s="1"/>
    </row>
    <row r="145" ht="12.75" customHeight="1">
      <c r="A145" s="1"/>
      <c r="B145" s="140"/>
      <c r="C145" s="141"/>
      <c r="D145" s="142"/>
      <c r="E145" s="143"/>
      <c r="F145" s="144"/>
      <c r="G145" s="1"/>
      <c r="H145" s="131" t="str">
        <f t="shared" si="4"/>
        <v/>
      </c>
      <c r="I145" s="132" t="str">
        <f>IF(L145&gt;0,NbEch+Différé+1-H145,"")</f>
        <v/>
      </c>
      <c r="J145" s="145" t="str">
        <f t="shared" si="2"/>
        <v/>
      </c>
      <c r="K145" s="146" t="str">
        <f>IF(L145=0,"",IF(Ijour=0,MIN(DATE(YEAR(DebAmort),MONTH(DebAmort)+(H145-1)*Imois,Jour1),DATE(YEAR(DebAmort),MONTH(DebAmort)+1+(H145-1)*Imois,0)),DATE(YEAR(DebAmort),MONTH(DebAmort),Jour1+(H145-1)*Ijour)))</f>
        <v/>
      </c>
      <c r="L145" s="147">
        <f t="shared" si="5"/>
        <v>0</v>
      </c>
      <c r="M145" s="135">
        <f>IF(H145&lt;=NoEchMaxi,ROUND(L145*R145,NbDeci),0)</f>
        <v>0</v>
      </c>
      <c r="N145" s="134">
        <f>IF(OR(H145&lt;=Différé,H145&gt;NoEchMaxi),IF(DiffTotal,-M145,0),IF(H145&gt;=NoEchRemb,L145,IF(S145-(M145*EchFIXE)&gt;L145-2,L145,S145-(M145*EchFIXE))))+C145</f>
        <v>0</v>
      </c>
      <c r="O145" s="136">
        <f>IF(OR(L145=0,H145&gt;NoEchMaxi),0,ROUND(FraisF+FraisV*L145,NbDeci))+F145</f>
        <v>0</v>
      </c>
      <c r="P145" s="148">
        <f t="shared" si="3"/>
        <v>0</v>
      </c>
      <c r="Q145" s="1"/>
      <c r="R145" s="138">
        <f>IF(B145&gt;0,IF(TauxActuariel,((B145+1)^(1/NbEchAn))-1,B145/NbEchAn),R144)</f>
        <v>0.04</v>
      </c>
      <c r="S145" s="139">
        <f>IF(E145&gt;0,E145,IF(D145&gt;0,IF(AND(EchFIXE,R145&gt;0),ROUND((L145-C145)*R145/(1-((1+R145)^-D145)),NbDeci),ROUND(L145/D145,NbDeci)),S144))</f>
        <v>6664</v>
      </c>
      <c r="T145" s="1"/>
      <c r="U145" s="1"/>
      <c r="V145" s="1"/>
      <c r="W145" s="1"/>
      <c r="X145" s="1"/>
      <c r="Y145" s="1"/>
      <c r="Z145" s="1"/>
      <c r="AA145" s="1"/>
    </row>
    <row r="146" ht="12.75" customHeight="1">
      <c r="A146" s="1"/>
      <c r="B146" s="140"/>
      <c r="C146" s="141"/>
      <c r="D146" s="142"/>
      <c r="E146" s="143"/>
      <c r="F146" s="144"/>
      <c r="G146" s="1"/>
      <c r="H146" s="131" t="str">
        <f t="shared" si="4"/>
        <v/>
      </c>
      <c r="I146" s="132" t="str">
        <f>IF(L146&gt;0,NbEch+Différé+1-H146,"")</f>
        <v/>
      </c>
      <c r="J146" s="145" t="str">
        <f t="shared" si="2"/>
        <v/>
      </c>
      <c r="K146" s="146" t="str">
        <f>IF(L146=0,"",IF(Ijour=0,MIN(DATE(YEAR(DebAmort),MONTH(DebAmort)+MoisD+(H146-1)*Imois,Jour2),DATE(YEAR(DebAmort),MONTH(DebAmort)+MoisD+1+(H146-1)*Imois,0)),DATE(YEAR(DebAmort),MONTH(DebAmort),Jour1+(H146-1)*Ijour)))</f>
        <v/>
      </c>
      <c r="L146" s="147">
        <f t="shared" si="5"/>
        <v>0</v>
      </c>
      <c r="M146" s="135">
        <f>IF(H146&lt;=NoEchMaxi,ROUND(L146*R146,NbDeci),0)</f>
        <v>0</v>
      </c>
      <c r="N146" s="134">
        <f>IF(OR(H146&lt;=Différé,H146&gt;NoEchMaxi),IF(DiffTotal,-M146,0),IF(H146&gt;=NoEchRemb,L146,IF(S146-(M146*EchFIXE)&gt;L146-2,L146,S146-(M146*EchFIXE))))+C146</f>
        <v>0</v>
      </c>
      <c r="O146" s="136">
        <f>IF(OR(L146=0,H146&gt;NoEchMaxi),0,ROUND(FraisF+FraisV*L146,NbDeci))+F146</f>
        <v>0</v>
      </c>
      <c r="P146" s="148">
        <f t="shared" si="3"/>
        <v>0</v>
      </c>
      <c r="Q146" s="1"/>
      <c r="R146" s="138">
        <f>IF(B146&gt;0,IF(TauxActuariel,((B146+1)^(1/NbEchAn))-1,B146/NbEchAn),R145)</f>
        <v>0.04</v>
      </c>
      <c r="S146" s="139">
        <f>IF(E146&gt;0,E146,IF(D146&gt;0,IF(AND(EchFIXE,R146&gt;0),ROUND((L146-C146)*R146/(1-((1+R146)^-D146)),NbDeci),ROUND(L146/D146,NbDeci)),S145))</f>
        <v>6664</v>
      </c>
      <c r="T146" s="1"/>
      <c r="U146" s="1"/>
      <c r="V146" s="1"/>
      <c r="W146" s="1"/>
      <c r="X146" s="1"/>
      <c r="Y146" s="1"/>
      <c r="Z146" s="1"/>
      <c r="AA146" s="1"/>
    </row>
    <row r="147" ht="12.75" customHeight="1">
      <c r="A147" s="1"/>
      <c r="B147" s="140"/>
      <c r="C147" s="141"/>
      <c r="D147" s="142"/>
      <c r="E147" s="143"/>
      <c r="F147" s="144"/>
      <c r="G147" s="1"/>
      <c r="H147" s="131" t="str">
        <f t="shared" si="4"/>
        <v/>
      </c>
      <c r="I147" s="132" t="str">
        <f>IF(L147&gt;0,NbEch+Différé+1-H147,"")</f>
        <v/>
      </c>
      <c r="J147" s="145" t="str">
        <f t="shared" si="2"/>
        <v/>
      </c>
      <c r="K147" s="146" t="str">
        <f>IF(L147=0,"",IF(Ijour=0,MIN(DATE(YEAR(DebAmort),MONTH(DebAmort)+(H147-1)*Imois,Jour1),DATE(YEAR(DebAmort),MONTH(DebAmort)+1+(H147-1)*Imois,0)),DATE(YEAR(DebAmort),MONTH(DebAmort),Jour1+(H147-1)*Ijour)))</f>
        <v/>
      </c>
      <c r="L147" s="147">
        <f t="shared" si="5"/>
        <v>0</v>
      </c>
      <c r="M147" s="135">
        <f>IF(H147&lt;=NoEchMaxi,ROUND(L147*R147,NbDeci),0)</f>
        <v>0</v>
      </c>
      <c r="N147" s="134">
        <f>IF(OR(H147&lt;=Différé,H147&gt;NoEchMaxi),IF(DiffTotal,-M147,0),IF(H147&gt;=NoEchRemb,L147,IF(S147-(M147*EchFIXE)&gt;L147-2,L147,S147-(M147*EchFIXE))))+C147</f>
        <v>0</v>
      </c>
      <c r="O147" s="136">
        <f>IF(OR(L147=0,H147&gt;NoEchMaxi),0,ROUND(FraisF+FraisV*L147,NbDeci))+F147</f>
        <v>0</v>
      </c>
      <c r="P147" s="148">
        <f t="shared" si="3"/>
        <v>0</v>
      </c>
      <c r="Q147" s="1"/>
      <c r="R147" s="138">
        <f>IF(B147&gt;0,IF(TauxActuariel,((B147+1)^(1/NbEchAn))-1,B147/NbEchAn),R146)</f>
        <v>0.04</v>
      </c>
      <c r="S147" s="139">
        <f>IF(E147&gt;0,E147,IF(D147&gt;0,IF(AND(EchFIXE,R147&gt;0),ROUND((L147-C147)*R147/(1-((1+R147)^-D147)),NbDeci),ROUND(L147/D147,NbDeci)),S146))</f>
        <v>6664</v>
      </c>
      <c r="T147" s="1"/>
      <c r="U147" s="1"/>
      <c r="V147" s="1"/>
      <c r="W147" s="1"/>
      <c r="X147" s="1"/>
      <c r="Y147" s="1"/>
      <c r="Z147" s="1"/>
      <c r="AA147" s="1"/>
    </row>
    <row r="148" ht="12.75" customHeight="1">
      <c r="A148" s="1"/>
      <c r="B148" s="140"/>
      <c r="C148" s="141"/>
      <c r="D148" s="142"/>
      <c r="E148" s="143"/>
      <c r="F148" s="144"/>
      <c r="G148" s="1"/>
      <c r="H148" s="131" t="str">
        <f t="shared" si="4"/>
        <v/>
      </c>
      <c r="I148" s="132" t="str">
        <f>IF(L148&gt;0,NbEch+Différé+1-H148,"")</f>
        <v/>
      </c>
      <c r="J148" s="145" t="str">
        <f t="shared" si="2"/>
        <v/>
      </c>
      <c r="K148" s="146" t="str">
        <f>IF(L148=0,"",IF(Ijour=0,MIN(DATE(YEAR(DebAmort),MONTH(DebAmort)+MoisD+(H148-1)*Imois,Jour2),DATE(YEAR(DebAmort),MONTH(DebAmort)+MoisD+1+(H148-1)*Imois,0)),DATE(YEAR(DebAmort),MONTH(DebAmort),Jour1+(H148-1)*Ijour)))</f>
        <v/>
      </c>
      <c r="L148" s="147">
        <f t="shared" si="5"/>
        <v>0</v>
      </c>
      <c r="M148" s="135">
        <f>IF(H148&lt;=NoEchMaxi,ROUND(L148*R148,NbDeci),0)</f>
        <v>0</v>
      </c>
      <c r="N148" s="134">
        <f>IF(OR(H148&lt;=Différé,H148&gt;NoEchMaxi),IF(DiffTotal,-M148,0),IF(H148&gt;=NoEchRemb,L148,IF(S148-(M148*EchFIXE)&gt;L148-2,L148,S148-(M148*EchFIXE))))+C148</f>
        <v>0</v>
      </c>
      <c r="O148" s="136">
        <f>IF(OR(L148=0,H148&gt;NoEchMaxi),0,ROUND(FraisF+FraisV*L148,NbDeci))+F148</f>
        <v>0</v>
      </c>
      <c r="P148" s="148">
        <f t="shared" si="3"/>
        <v>0</v>
      </c>
      <c r="Q148" s="1"/>
      <c r="R148" s="138">
        <f>IF(B148&gt;0,IF(TauxActuariel,((B148+1)^(1/NbEchAn))-1,B148/NbEchAn),R147)</f>
        <v>0.04</v>
      </c>
      <c r="S148" s="139">
        <f>IF(E148&gt;0,E148,IF(D148&gt;0,IF(AND(EchFIXE,R148&gt;0),ROUND((L148-C148)*R148/(1-((1+R148)^-D148)),NbDeci),ROUND(L148/D148,NbDeci)),S147))</f>
        <v>6664</v>
      </c>
      <c r="T148" s="1"/>
      <c r="U148" s="1"/>
      <c r="V148" s="1"/>
      <c r="W148" s="1"/>
      <c r="X148" s="1"/>
      <c r="Y148" s="1"/>
      <c r="Z148" s="1"/>
      <c r="AA148" s="1"/>
    </row>
    <row r="149" ht="12.75" customHeight="1">
      <c r="A149" s="1"/>
      <c r="B149" s="140"/>
      <c r="C149" s="141"/>
      <c r="D149" s="142"/>
      <c r="E149" s="143"/>
      <c r="F149" s="144"/>
      <c r="G149" s="1"/>
      <c r="H149" s="131" t="str">
        <f t="shared" si="4"/>
        <v/>
      </c>
      <c r="I149" s="132" t="str">
        <f>IF(L149&gt;0,NbEch+Différé+1-H149,"")</f>
        <v/>
      </c>
      <c r="J149" s="145" t="str">
        <f t="shared" si="2"/>
        <v/>
      </c>
      <c r="K149" s="146" t="str">
        <f>IF(L149=0,"",IF(Ijour=0,MIN(DATE(YEAR(DebAmort),MONTH(DebAmort)+(H149-1)*Imois,Jour1),DATE(YEAR(DebAmort),MONTH(DebAmort)+1+(H149-1)*Imois,0)),DATE(YEAR(DebAmort),MONTH(DebAmort),Jour1+(H149-1)*Ijour)))</f>
        <v/>
      </c>
      <c r="L149" s="147">
        <f t="shared" si="5"/>
        <v>0</v>
      </c>
      <c r="M149" s="135">
        <f>IF(H149&lt;=NoEchMaxi,ROUND(L149*R149,NbDeci),0)</f>
        <v>0</v>
      </c>
      <c r="N149" s="134">
        <f>IF(OR(H149&lt;=Différé,H149&gt;NoEchMaxi),IF(DiffTotal,-M149,0),IF(H149&gt;=NoEchRemb,L149,IF(S149-(M149*EchFIXE)&gt;L149-2,L149,S149-(M149*EchFIXE))))+C149</f>
        <v>0</v>
      </c>
      <c r="O149" s="136">
        <f>IF(OR(L149=0,H149&gt;NoEchMaxi),0,ROUND(FraisF+FraisV*L149,NbDeci))+F149</f>
        <v>0</v>
      </c>
      <c r="P149" s="148">
        <f t="shared" si="3"/>
        <v>0</v>
      </c>
      <c r="Q149" s="1"/>
      <c r="R149" s="138">
        <f>IF(B149&gt;0,IF(TauxActuariel,((B149+1)^(1/NbEchAn))-1,B149/NbEchAn),R148)</f>
        <v>0.04</v>
      </c>
      <c r="S149" s="139">
        <f>IF(E149&gt;0,E149,IF(D149&gt;0,IF(AND(EchFIXE,R149&gt;0),ROUND((L149-C149)*R149/(1-((1+R149)^-D149)),NbDeci),ROUND(L149/D149,NbDeci)),S148))</f>
        <v>6664</v>
      </c>
      <c r="T149" s="1"/>
      <c r="U149" s="1"/>
      <c r="V149" s="1"/>
      <c r="W149" s="1"/>
      <c r="X149" s="1"/>
      <c r="Y149" s="1"/>
      <c r="Z149" s="1"/>
      <c r="AA149" s="1"/>
    </row>
    <row r="150" ht="12.75" customHeight="1">
      <c r="A150" s="1"/>
      <c r="B150" s="140"/>
      <c r="C150" s="141"/>
      <c r="D150" s="142"/>
      <c r="E150" s="143"/>
      <c r="F150" s="144"/>
      <c r="G150" s="1"/>
      <c r="H150" s="131" t="str">
        <f t="shared" si="4"/>
        <v/>
      </c>
      <c r="I150" s="132" t="str">
        <f>IF(L150&gt;0,NbEch+Différé+1-H150,"")</f>
        <v/>
      </c>
      <c r="J150" s="145" t="str">
        <f t="shared" si="2"/>
        <v/>
      </c>
      <c r="K150" s="146" t="str">
        <f>IF(L150=0,"",IF(Ijour=0,MIN(DATE(YEAR(DebAmort),MONTH(DebAmort)+MoisD+(H150-1)*Imois,Jour2),DATE(YEAR(DebAmort),MONTH(DebAmort)+MoisD+1+(H150-1)*Imois,0)),DATE(YEAR(DebAmort),MONTH(DebAmort),Jour1+(H150-1)*Ijour)))</f>
        <v/>
      </c>
      <c r="L150" s="147">
        <f t="shared" si="5"/>
        <v>0</v>
      </c>
      <c r="M150" s="135">
        <f>IF(H150&lt;=NoEchMaxi,ROUND(L150*R150,NbDeci),0)</f>
        <v>0</v>
      </c>
      <c r="N150" s="134">
        <f>IF(OR(H150&lt;=Différé,H150&gt;NoEchMaxi),IF(DiffTotal,-M150,0),IF(H150&gt;=NoEchRemb,L150,IF(S150-(M150*EchFIXE)&gt;L150-2,L150,S150-(M150*EchFIXE))))+C150</f>
        <v>0</v>
      </c>
      <c r="O150" s="136">
        <f>IF(OR(L150=0,H150&gt;NoEchMaxi),0,ROUND(FraisF+FraisV*L150,NbDeci))+F150</f>
        <v>0</v>
      </c>
      <c r="P150" s="148">
        <f t="shared" si="3"/>
        <v>0</v>
      </c>
      <c r="Q150" s="1"/>
      <c r="R150" s="138">
        <f>IF(B150&gt;0,IF(TauxActuariel,((B150+1)^(1/NbEchAn))-1,B150/NbEchAn),R149)</f>
        <v>0.04</v>
      </c>
      <c r="S150" s="139">
        <f>IF(E150&gt;0,E150,IF(D150&gt;0,IF(AND(EchFIXE,R150&gt;0),ROUND((L150-C150)*R150/(1-((1+R150)^-D150)),NbDeci),ROUND(L150/D150,NbDeci)),S149))</f>
        <v>6664</v>
      </c>
      <c r="T150" s="1"/>
      <c r="U150" s="1"/>
      <c r="V150" s="1"/>
      <c r="W150" s="1"/>
      <c r="X150" s="1"/>
      <c r="Y150" s="1"/>
      <c r="Z150" s="1"/>
      <c r="AA150" s="1"/>
    </row>
    <row r="151" ht="12.75" customHeight="1">
      <c r="A151" s="1"/>
      <c r="B151" s="140"/>
      <c r="C151" s="141"/>
      <c r="D151" s="142"/>
      <c r="E151" s="143"/>
      <c r="F151" s="144"/>
      <c r="G151" s="1"/>
      <c r="H151" s="131" t="str">
        <f t="shared" si="4"/>
        <v/>
      </c>
      <c r="I151" s="132" t="str">
        <f>IF(L151&gt;0,NbEch+Différé+1-H151,"")</f>
        <v/>
      </c>
      <c r="J151" s="145" t="str">
        <f t="shared" si="2"/>
        <v/>
      </c>
      <c r="K151" s="146" t="str">
        <f>IF(L151=0,"",IF(Ijour=0,MIN(DATE(YEAR(DebAmort),MONTH(DebAmort)+(H151-1)*Imois,Jour1),DATE(YEAR(DebAmort),MONTH(DebAmort)+1+(H151-1)*Imois,0)),DATE(YEAR(DebAmort),MONTH(DebAmort),Jour1+(H151-1)*Ijour)))</f>
        <v/>
      </c>
      <c r="L151" s="147">
        <f t="shared" si="5"/>
        <v>0</v>
      </c>
      <c r="M151" s="135">
        <f>IF(H151&lt;=NoEchMaxi,ROUND(L151*R151,NbDeci),0)</f>
        <v>0</v>
      </c>
      <c r="N151" s="134">
        <f>IF(OR(H151&lt;=Différé,H151&gt;NoEchMaxi),IF(DiffTotal,-M151,0),IF(H151&gt;=NoEchRemb,L151,IF(S151-(M151*EchFIXE)&gt;L151-2,L151,S151-(M151*EchFIXE))))+C151</f>
        <v>0</v>
      </c>
      <c r="O151" s="136">
        <f>IF(OR(L151=0,H151&gt;NoEchMaxi),0,ROUND(FraisF+FraisV*L151,NbDeci))+F151</f>
        <v>0</v>
      </c>
      <c r="P151" s="148">
        <f t="shared" si="3"/>
        <v>0</v>
      </c>
      <c r="Q151" s="1"/>
      <c r="R151" s="138">
        <f>IF(B151&gt;0,IF(TauxActuariel,((B151+1)^(1/NbEchAn))-1,B151/NbEchAn),R150)</f>
        <v>0.04</v>
      </c>
      <c r="S151" s="139">
        <f>IF(E151&gt;0,E151,IF(D151&gt;0,IF(AND(EchFIXE,R151&gt;0),ROUND((L151-C151)*R151/(1-((1+R151)^-D151)),NbDeci),ROUND(L151/D151,NbDeci)),S150))</f>
        <v>6664</v>
      </c>
      <c r="T151" s="1"/>
      <c r="U151" s="1"/>
      <c r="V151" s="1"/>
      <c r="W151" s="1"/>
      <c r="X151" s="1"/>
      <c r="Y151" s="1"/>
      <c r="Z151" s="1"/>
      <c r="AA151" s="1"/>
    </row>
    <row r="152" ht="12.75" customHeight="1">
      <c r="A152" s="1"/>
      <c r="B152" s="140"/>
      <c r="C152" s="141"/>
      <c r="D152" s="142"/>
      <c r="E152" s="143"/>
      <c r="F152" s="144"/>
      <c r="G152" s="1"/>
      <c r="H152" s="131" t="str">
        <f t="shared" si="4"/>
        <v/>
      </c>
      <c r="I152" s="132" t="str">
        <f>IF(L152&gt;0,NbEch+Différé+1-H152,"")</f>
        <v/>
      </c>
      <c r="J152" s="145" t="str">
        <f t="shared" si="2"/>
        <v/>
      </c>
      <c r="K152" s="146" t="str">
        <f>IF(L152=0,"",IF(Ijour=0,MIN(DATE(YEAR(DebAmort),MONTH(DebAmort)+MoisD+(H152-1)*Imois,Jour2),DATE(YEAR(DebAmort),MONTH(DebAmort)+MoisD+1+(H152-1)*Imois,0)),DATE(YEAR(DebAmort),MONTH(DebAmort),Jour1+(H152-1)*Ijour)))</f>
        <v/>
      </c>
      <c r="L152" s="147">
        <f t="shared" si="5"/>
        <v>0</v>
      </c>
      <c r="M152" s="135">
        <f>IF(H152&lt;=NoEchMaxi,ROUND(L152*R152,NbDeci),0)</f>
        <v>0</v>
      </c>
      <c r="N152" s="134">
        <f>IF(OR(H152&lt;=Différé,H152&gt;NoEchMaxi),IF(DiffTotal,-M152,0),IF(H152&gt;=NoEchRemb,L152,IF(S152-(M152*EchFIXE)&gt;L152-2,L152,S152-(M152*EchFIXE))))+C152</f>
        <v>0</v>
      </c>
      <c r="O152" s="136">
        <f>IF(OR(L152=0,H152&gt;NoEchMaxi),0,ROUND(FraisF+FraisV*L152,NbDeci))+F152</f>
        <v>0</v>
      </c>
      <c r="P152" s="148">
        <f t="shared" si="3"/>
        <v>0</v>
      </c>
      <c r="Q152" s="1"/>
      <c r="R152" s="138">
        <f>IF(B152&gt;0,IF(TauxActuariel,((B152+1)^(1/NbEchAn))-1,B152/NbEchAn),R151)</f>
        <v>0.04</v>
      </c>
      <c r="S152" s="139">
        <f>IF(E152&gt;0,E152,IF(D152&gt;0,IF(AND(EchFIXE,R152&gt;0),ROUND((L152-C152)*R152/(1-((1+R152)^-D152)),NbDeci),ROUND(L152/D152,NbDeci)),S151))</f>
        <v>6664</v>
      </c>
      <c r="T152" s="1"/>
      <c r="U152" s="1"/>
      <c r="V152" s="1"/>
      <c r="W152" s="1"/>
      <c r="X152" s="1"/>
      <c r="Y152" s="1"/>
      <c r="Z152" s="1"/>
      <c r="AA152" s="1"/>
    </row>
    <row r="153" ht="12.75" customHeight="1">
      <c r="A153" s="1"/>
      <c r="B153" s="140"/>
      <c r="C153" s="141"/>
      <c r="D153" s="142"/>
      <c r="E153" s="143"/>
      <c r="F153" s="144"/>
      <c r="G153" s="1"/>
      <c r="H153" s="131" t="str">
        <f t="shared" si="4"/>
        <v/>
      </c>
      <c r="I153" s="132" t="str">
        <f>IF(L153&gt;0,NbEch+Différé+1-H153,"")</f>
        <v/>
      </c>
      <c r="J153" s="145" t="str">
        <f t="shared" si="2"/>
        <v/>
      </c>
      <c r="K153" s="146" t="str">
        <f>IF(L153=0,"",IF(Ijour=0,MIN(DATE(YEAR(DebAmort),MONTH(DebAmort)+(H153-1)*Imois,Jour1),DATE(YEAR(DebAmort),MONTH(DebAmort)+1+(H153-1)*Imois,0)),DATE(YEAR(DebAmort),MONTH(DebAmort),Jour1+(H153-1)*Ijour)))</f>
        <v/>
      </c>
      <c r="L153" s="147">
        <f t="shared" si="5"/>
        <v>0</v>
      </c>
      <c r="M153" s="135">
        <f>IF(H153&lt;=NoEchMaxi,ROUND(L153*R153,NbDeci),0)</f>
        <v>0</v>
      </c>
      <c r="N153" s="134">
        <f>IF(OR(H153&lt;=Différé,H153&gt;NoEchMaxi),IF(DiffTotal,-M153,0),IF(H153&gt;=NoEchRemb,L153,IF(S153-(M153*EchFIXE)&gt;L153-2,L153,S153-(M153*EchFIXE))))+C153</f>
        <v>0</v>
      </c>
      <c r="O153" s="136">
        <f>IF(OR(L153=0,H153&gt;NoEchMaxi),0,ROUND(FraisF+FraisV*L153,NbDeci))+F153</f>
        <v>0</v>
      </c>
      <c r="P153" s="148">
        <f t="shared" si="3"/>
        <v>0</v>
      </c>
      <c r="Q153" s="1"/>
      <c r="R153" s="138">
        <f>IF(B153&gt;0,IF(TauxActuariel,((B153+1)^(1/NbEchAn))-1,B153/NbEchAn),R152)</f>
        <v>0.04</v>
      </c>
      <c r="S153" s="139">
        <f>IF(E153&gt;0,E153,IF(D153&gt;0,IF(AND(EchFIXE,R153&gt;0),ROUND((L153-C153)*R153/(1-((1+R153)^-D153)),NbDeci),ROUND(L153/D153,NbDeci)),S152))</f>
        <v>6664</v>
      </c>
      <c r="T153" s="1"/>
      <c r="U153" s="1"/>
      <c r="V153" s="1"/>
      <c r="W153" s="1"/>
      <c r="X153" s="1"/>
      <c r="Y153" s="1"/>
      <c r="Z153" s="1"/>
      <c r="AA153" s="1"/>
    </row>
    <row r="154" ht="12.75" customHeight="1">
      <c r="A154" s="1"/>
      <c r="B154" s="140"/>
      <c r="C154" s="141"/>
      <c r="D154" s="142"/>
      <c r="E154" s="143"/>
      <c r="F154" s="144"/>
      <c r="G154" s="1"/>
      <c r="H154" s="131" t="str">
        <f t="shared" si="4"/>
        <v/>
      </c>
      <c r="I154" s="132" t="str">
        <f>IF(L154&gt;0,NbEch+Différé+1-H154,"")</f>
        <v/>
      </c>
      <c r="J154" s="145" t="str">
        <f t="shared" si="2"/>
        <v/>
      </c>
      <c r="K154" s="146" t="str">
        <f>IF(L154=0,"",IF(Ijour=0,MIN(DATE(YEAR(DebAmort),MONTH(DebAmort)+MoisD+(H154-1)*Imois,Jour2),DATE(YEAR(DebAmort),MONTH(DebAmort)+MoisD+1+(H154-1)*Imois,0)),DATE(YEAR(DebAmort),MONTH(DebAmort),Jour1+(H154-1)*Ijour)))</f>
        <v/>
      </c>
      <c r="L154" s="147">
        <f t="shared" si="5"/>
        <v>0</v>
      </c>
      <c r="M154" s="135">
        <f>IF(H154&lt;=NoEchMaxi,ROUND(L154*R154,NbDeci),0)</f>
        <v>0</v>
      </c>
      <c r="N154" s="134">
        <f>IF(OR(H154&lt;=Différé,H154&gt;NoEchMaxi),IF(DiffTotal,-M154,0),IF(H154&gt;=NoEchRemb,L154,IF(S154-(M154*EchFIXE)&gt;L154-2,L154,S154-(M154*EchFIXE))))+C154</f>
        <v>0</v>
      </c>
      <c r="O154" s="136">
        <f>IF(OR(L154=0,H154&gt;NoEchMaxi),0,ROUND(FraisF+FraisV*L154,NbDeci))+F154</f>
        <v>0</v>
      </c>
      <c r="P154" s="148">
        <f t="shared" si="3"/>
        <v>0</v>
      </c>
      <c r="Q154" s="1"/>
      <c r="R154" s="138">
        <f>IF(B154&gt;0,IF(TauxActuariel,((B154+1)^(1/NbEchAn))-1,B154/NbEchAn),R153)</f>
        <v>0.04</v>
      </c>
      <c r="S154" s="139">
        <f>IF(E154&gt;0,E154,IF(D154&gt;0,IF(AND(EchFIXE,R154&gt;0),ROUND((L154-C154)*R154/(1-((1+R154)^-D154)),NbDeci),ROUND(L154/D154,NbDeci)),S153))</f>
        <v>6664</v>
      </c>
      <c r="T154" s="1"/>
      <c r="U154" s="1"/>
      <c r="V154" s="1"/>
      <c r="W154" s="1"/>
      <c r="X154" s="1"/>
      <c r="Y154" s="1"/>
      <c r="Z154" s="1"/>
      <c r="AA154" s="1"/>
    </row>
    <row r="155" ht="12.75" customHeight="1">
      <c r="A155" s="1"/>
      <c r="B155" s="140"/>
      <c r="C155" s="141"/>
      <c r="D155" s="142"/>
      <c r="E155" s="143"/>
      <c r="F155" s="144"/>
      <c r="G155" s="1"/>
      <c r="H155" s="131" t="str">
        <f t="shared" si="4"/>
        <v/>
      </c>
      <c r="I155" s="132" t="str">
        <f>IF(L155&gt;0,NbEch+Différé+1-H155,"")</f>
        <v/>
      </c>
      <c r="J155" s="145" t="str">
        <f t="shared" si="2"/>
        <v/>
      </c>
      <c r="K155" s="146" t="str">
        <f>IF(L155=0,"",IF(Ijour=0,MIN(DATE(YEAR(DebAmort),MONTH(DebAmort)+(H155-1)*Imois,Jour1),DATE(YEAR(DebAmort),MONTH(DebAmort)+1+(H155-1)*Imois,0)),DATE(YEAR(DebAmort),MONTH(DebAmort),Jour1+(H155-1)*Ijour)))</f>
        <v/>
      </c>
      <c r="L155" s="147">
        <f t="shared" si="5"/>
        <v>0</v>
      </c>
      <c r="M155" s="135">
        <f>IF(H155&lt;=NoEchMaxi,ROUND(L155*R155,NbDeci),0)</f>
        <v>0</v>
      </c>
      <c r="N155" s="134">
        <f>IF(OR(H155&lt;=Différé,H155&gt;NoEchMaxi),IF(DiffTotal,-M155,0),IF(H155&gt;=NoEchRemb,L155,IF(S155-(M155*EchFIXE)&gt;L155-2,L155,S155-(M155*EchFIXE))))+C155</f>
        <v>0</v>
      </c>
      <c r="O155" s="136">
        <f>IF(OR(L155=0,H155&gt;NoEchMaxi),0,ROUND(FraisF+FraisV*L155,NbDeci))+F155</f>
        <v>0</v>
      </c>
      <c r="P155" s="148">
        <f t="shared" si="3"/>
        <v>0</v>
      </c>
      <c r="Q155" s="1"/>
      <c r="R155" s="138">
        <f>IF(B155&gt;0,IF(TauxActuariel,((B155+1)^(1/NbEchAn))-1,B155/NbEchAn),R154)</f>
        <v>0.04</v>
      </c>
      <c r="S155" s="139">
        <f>IF(E155&gt;0,E155,IF(D155&gt;0,IF(AND(EchFIXE,R155&gt;0),ROUND((L155-C155)*R155/(1-((1+R155)^-D155)),NbDeci),ROUND(L155/D155,NbDeci)),S154))</f>
        <v>6664</v>
      </c>
      <c r="T155" s="1"/>
      <c r="U155" s="1"/>
      <c r="V155" s="1"/>
      <c r="W155" s="1"/>
      <c r="X155" s="1"/>
      <c r="Y155" s="1"/>
      <c r="Z155" s="1"/>
      <c r="AA155" s="1"/>
    </row>
    <row r="156" ht="12.75" customHeight="1">
      <c r="A156" s="1"/>
      <c r="B156" s="140"/>
      <c r="C156" s="141"/>
      <c r="D156" s="142"/>
      <c r="E156" s="143"/>
      <c r="F156" s="144"/>
      <c r="G156" s="1"/>
      <c r="H156" s="131" t="str">
        <f t="shared" si="4"/>
        <v/>
      </c>
      <c r="I156" s="132" t="str">
        <f>IF(L156&gt;0,NbEch+Différé+1-H156,"")</f>
        <v/>
      </c>
      <c r="J156" s="145" t="str">
        <f t="shared" si="2"/>
        <v/>
      </c>
      <c r="K156" s="146" t="str">
        <f>IF(L156=0,"",IF(Ijour=0,MIN(DATE(YEAR(DebAmort),MONTH(DebAmort)+MoisD+(H156-1)*Imois,Jour2),DATE(YEAR(DebAmort),MONTH(DebAmort)+MoisD+1+(H156-1)*Imois,0)),DATE(YEAR(DebAmort),MONTH(DebAmort),Jour1+(H156-1)*Ijour)))</f>
        <v/>
      </c>
      <c r="L156" s="147">
        <f t="shared" si="5"/>
        <v>0</v>
      </c>
      <c r="M156" s="135">
        <f>IF(H156&lt;=NoEchMaxi,ROUND(L156*R156,NbDeci),0)</f>
        <v>0</v>
      </c>
      <c r="N156" s="134">
        <f>IF(OR(H156&lt;=Différé,H156&gt;NoEchMaxi),IF(DiffTotal,-M156,0),IF(H156&gt;=NoEchRemb,L156,IF(S156-(M156*EchFIXE)&gt;L156-2,L156,S156-(M156*EchFIXE))))+C156</f>
        <v>0</v>
      </c>
      <c r="O156" s="136">
        <f>IF(OR(L156=0,H156&gt;NoEchMaxi),0,ROUND(FraisF+FraisV*L156,NbDeci))+F156</f>
        <v>0</v>
      </c>
      <c r="P156" s="148">
        <f t="shared" si="3"/>
        <v>0</v>
      </c>
      <c r="Q156" s="1"/>
      <c r="R156" s="138">
        <f>IF(B156&gt;0,IF(TauxActuariel,((B156+1)^(1/NbEchAn))-1,B156/NbEchAn),R155)</f>
        <v>0.04</v>
      </c>
      <c r="S156" s="139">
        <f>IF(E156&gt;0,E156,IF(D156&gt;0,IF(AND(EchFIXE,R156&gt;0),ROUND((L156-C156)*R156/(1-((1+R156)^-D156)),NbDeci),ROUND(L156/D156,NbDeci)),S155))</f>
        <v>6664</v>
      </c>
      <c r="T156" s="1"/>
      <c r="U156" s="1"/>
      <c r="V156" s="1"/>
      <c r="W156" s="1"/>
      <c r="X156" s="1"/>
      <c r="Y156" s="1"/>
      <c r="Z156" s="1"/>
      <c r="AA156" s="1"/>
    </row>
    <row r="157" ht="12.75" customHeight="1">
      <c r="A157" s="1"/>
      <c r="B157" s="140"/>
      <c r="C157" s="141"/>
      <c r="D157" s="142"/>
      <c r="E157" s="143"/>
      <c r="F157" s="144"/>
      <c r="G157" s="1"/>
      <c r="H157" s="131" t="str">
        <f t="shared" si="4"/>
        <v/>
      </c>
      <c r="I157" s="132" t="str">
        <f>IF(L157&gt;0,NbEch+Différé+1-H157,"")</f>
        <v/>
      </c>
      <c r="J157" s="145" t="str">
        <f t="shared" si="2"/>
        <v/>
      </c>
      <c r="K157" s="146" t="str">
        <f>IF(L157=0,"",IF(Ijour=0,MIN(DATE(YEAR(DebAmort),MONTH(DebAmort)+(H157-1)*Imois,Jour1),DATE(YEAR(DebAmort),MONTH(DebAmort)+1+(H157-1)*Imois,0)),DATE(YEAR(DebAmort),MONTH(DebAmort),Jour1+(H157-1)*Ijour)))</f>
        <v/>
      </c>
      <c r="L157" s="147">
        <f t="shared" si="5"/>
        <v>0</v>
      </c>
      <c r="M157" s="135">
        <f>IF(H157&lt;=NoEchMaxi,ROUND(L157*R157,NbDeci),0)</f>
        <v>0</v>
      </c>
      <c r="N157" s="134">
        <f>IF(OR(H157&lt;=Différé,H157&gt;NoEchMaxi),IF(DiffTotal,-M157,0),IF(H157&gt;=NoEchRemb,L157,IF(S157-(M157*EchFIXE)&gt;L157-2,L157,S157-(M157*EchFIXE))))+C157</f>
        <v>0</v>
      </c>
      <c r="O157" s="136">
        <f>IF(OR(L157=0,H157&gt;NoEchMaxi),0,ROUND(FraisF+FraisV*L157,NbDeci))+F157</f>
        <v>0</v>
      </c>
      <c r="P157" s="148">
        <f t="shared" si="3"/>
        <v>0</v>
      </c>
      <c r="Q157" s="1"/>
      <c r="R157" s="138">
        <f>IF(B157&gt;0,IF(TauxActuariel,((B157+1)^(1/NbEchAn))-1,B157/NbEchAn),R156)</f>
        <v>0.04</v>
      </c>
      <c r="S157" s="139">
        <f>IF(E157&gt;0,E157,IF(D157&gt;0,IF(AND(EchFIXE,R157&gt;0),ROUND((L157-C157)*R157/(1-((1+R157)^-D157)),NbDeci),ROUND(L157/D157,NbDeci)),S156))</f>
        <v>6664</v>
      </c>
      <c r="T157" s="1"/>
      <c r="U157" s="1"/>
      <c r="V157" s="1"/>
      <c r="W157" s="1"/>
      <c r="X157" s="1"/>
      <c r="Y157" s="1"/>
      <c r="Z157" s="1"/>
      <c r="AA157" s="1"/>
    </row>
    <row r="158" ht="12.75" customHeight="1">
      <c r="A158" s="1"/>
      <c r="B158" s="140"/>
      <c r="C158" s="141"/>
      <c r="D158" s="142"/>
      <c r="E158" s="143"/>
      <c r="F158" s="144"/>
      <c r="G158" s="1"/>
      <c r="H158" s="131" t="str">
        <f t="shared" si="4"/>
        <v/>
      </c>
      <c r="I158" s="132" t="str">
        <f>IF(L158&gt;0,NbEch+Différé+1-H158,"")</f>
        <v/>
      </c>
      <c r="J158" s="145" t="str">
        <f t="shared" si="2"/>
        <v/>
      </c>
      <c r="K158" s="146" t="str">
        <f>IF(L158=0,"",IF(Ijour=0,MIN(DATE(YEAR(DebAmort),MONTH(DebAmort)+MoisD+(H158-1)*Imois,Jour2),DATE(YEAR(DebAmort),MONTH(DebAmort)+MoisD+1+(H158-1)*Imois,0)),DATE(YEAR(DebAmort),MONTH(DebAmort),Jour1+(H158-1)*Ijour)))</f>
        <v/>
      </c>
      <c r="L158" s="147">
        <f t="shared" si="5"/>
        <v>0</v>
      </c>
      <c r="M158" s="135">
        <f>IF(H158&lt;=NoEchMaxi,ROUND(L158*R158,NbDeci),0)</f>
        <v>0</v>
      </c>
      <c r="N158" s="134">
        <f>IF(OR(H158&lt;=Différé,H158&gt;NoEchMaxi),IF(DiffTotal,-M158,0),IF(H158&gt;=NoEchRemb,L158,IF(S158-(M158*EchFIXE)&gt;L158-2,L158,S158-(M158*EchFIXE))))+C158</f>
        <v>0</v>
      </c>
      <c r="O158" s="136">
        <f>IF(OR(L158=0,H158&gt;NoEchMaxi),0,ROUND(FraisF+FraisV*L158,NbDeci))+F158</f>
        <v>0</v>
      </c>
      <c r="P158" s="148">
        <f t="shared" si="3"/>
        <v>0</v>
      </c>
      <c r="Q158" s="1"/>
      <c r="R158" s="138">
        <f>IF(B158&gt;0,IF(TauxActuariel,((B158+1)^(1/NbEchAn))-1,B158/NbEchAn),R157)</f>
        <v>0.04</v>
      </c>
      <c r="S158" s="139">
        <f>IF(E158&gt;0,E158,IF(D158&gt;0,IF(AND(EchFIXE,R158&gt;0),ROUND((L158-C158)*R158/(1-((1+R158)^-D158)),NbDeci),ROUND(L158/D158,NbDeci)),S157))</f>
        <v>6664</v>
      </c>
      <c r="T158" s="1"/>
      <c r="U158" s="1"/>
      <c r="V158" s="1"/>
      <c r="W158" s="1"/>
      <c r="X158" s="1"/>
      <c r="Y158" s="1"/>
      <c r="Z158" s="1"/>
      <c r="AA158" s="1"/>
    </row>
    <row r="159" ht="12.75" customHeight="1">
      <c r="A159" s="1"/>
      <c r="B159" s="140"/>
      <c r="C159" s="141"/>
      <c r="D159" s="142"/>
      <c r="E159" s="143"/>
      <c r="F159" s="144"/>
      <c r="G159" s="1"/>
      <c r="H159" s="131" t="str">
        <f t="shared" si="4"/>
        <v/>
      </c>
      <c r="I159" s="132" t="str">
        <f>IF(L159&gt;0,NbEch+Différé+1-H159,"")</f>
        <v/>
      </c>
      <c r="J159" s="145" t="str">
        <f t="shared" si="2"/>
        <v/>
      </c>
      <c r="K159" s="146" t="str">
        <f>IF(L159=0,"",IF(Ijour=0,MIN(DATE(YEAR(DebAmort),MONTH(DebAmort)+(H159-1)*Imois,Jour1),DATE(YEAR(DebAmort),MONTH(DebAmort)+1+(H159-1)*Imois,0)),DATE(YEAR(DebAmort),MONTH(DebAmort),Jour1+(H159-1)*Ijour)))</f>
        <v/>
      </c>
      <c r="L159" s="147">
        <f t="shared" si="5"/>
        <v>0</v>
      </c>
      <c r="M159" s="135">
        <f>IF(H159&lt;=NoEchMaxi,ROUND(L159*R159,NbDeci),0)</f>
        <v>0</v>
      </c>
      <c r="N159" s="134">
        <f>IF(OR(H159&lt;=Différé,H159&gt;NoEchMaxi),IF(DiffTotal,-M159,0),IF(H159&gt;=NoEchRemb,L159,IF(S159-(M159*EchFIXE)&gt;L159-2,L159,S159-(M159*EchFIXE))))+C159</f>
        <v>0</v>
      </c>
      <c r="O159" s="136">
        <f>IF(OR(L159=0,H159&gt;NoEchMaxi),0,ROUND(FraisF+FraisV*L159,NbDeci))+F159</f>
        <v>0</v>
      </c>
      <c r="P159" s="148">
        <f t="shared" si="3"/>
        <v>0</v>
      </c>
      <c r="Q159" s="1"/>
      <c r="R159" s="138">
        <f>IF(B159&gt;0,IF(TauxActuariel,((B159+1)^(1/NbEchAn))-1,B159/NbEchAn),R158)</f>
        <v>0.04</v>
      </c>
      <c r="S159" s="139">
        <f>IF(E159&gt;0,E159,IF(D159&gt;0,IF(AND(EchFIXE,R159&gt;0),ROUND((L159-C159)*R159/(1-((1+R159)^-D159)),NbDeci),ROUND(L159/D159,NbDeci)),S158))</f>
        <v>6664</v>
      </c>
      <c r="T159" s="1"/>
      <c r="U159" s="1"/>
      <c r="V159" s="1"/>
      <c r="W159" s="1"/>
      <c r="X159" s="1"/>
      <c r="Y159" s="1"/>
      <c r="Z159" s="1"/>
      <c r="AA159" s="1"/>
    </row>
    <row r="160" ht="12.75" customHeight="1">
      <c r="A160" s="1"/>
      <c r="B160" s="140"/>
      <c r="C160" s="141"/>
      <c r="D160" s="142"/>
      <c r="E160" s="143"/>
      <c r="F160" s="144"/>
      <c r="G160" s="1"/>
      <c r="H160" s="131" t="str">
        <f t="shared" si="4"/>
        <v/>
      </c>
      <c r="I160" s="132" t="str">
        <f>IF(L160&gt;0,NbEch+Différé+1-H160,"")</f>
        <v/>
      </c>
      <c r="J160" s="145" t="str">
        <f t="shared" si="2"/>
        <v/>
      </c>
      <c r="K160" s="146" t="str">
        <f>IF(L160=0,"",IF(Ijour=0,MIN(DATE(YEAR(DebAmort),MONTH(DebAmort)+MoisD+(H160-1)*Imois,Jour2),DATE(YEAR(DebAmort),MONTH(DebAmort)+MoisD+1+(H160-1)*Imois,0)),DATE(YEAR(DebAmort),MONTH(DebAmort),Jour1+(H160-1)*Ijour)))</f>
        <v/>
      </c>
      <c r="L160" s="147">
        <f t="shared" si="5"/>
        <v>0</v>
      </c>
      <c r="M160" s="135">
        <f>IF(H160&lt;=NoEchMaxi,ROUND(L160*R160,NbDeci),0)</f>
        <v>0</v>
      </c>
      <c r="N160" s="134">
        <f>IF(OR(H160&lt;=Différé,H160&gt;NoEchMaxi),IF(DiffTotal,-M160,0),IF(H160&gt;=NoEchRemb,L160,IF(S160-(M160*EchFIXE)&gt;L160-2,L160,S160-(M160*EchFIXE))))+C160</f>
        <v>0</v>
      </c>
      <c r="O160" s="136">
        <f>IF(OR(L160=0,H160&gt;NoEchMaxi),0,ROUND(FraisF+FraisV*L160,NbDeci))+F160</f>
        <v>0</v>
      </c>
      <c r="P160" s="148">
        <f t="shared" si="3"/>
        <v>0</v>
      </c>
      <c r="Q160" s="1"/>
      <c r="R160" s="138">
        <f>IF(B160&gt;0,IF(TauxActuariel,((B160+1)^(1/NbEchAn))-1,B160/NbEchAn),R159)</f>
        <v>0.04</v>
      </c>
      <c r="S160" s="139">
        <f>IF(E160&gt;0,E160,IF(D160&gt;0,IF(AND(EchFIXE,R160&gt;0),ROUND((L160-C160)*R160/(1-((1+R160)^-D160)),NbDeci),ROUND(L160/D160,NbDeci)),S159))</f>
        <v>6664</v>
      </c>
      <c r="T160" s="1"/>
      <c r="U160" s="1"/>
      <c r="V160" s="1"/>
      <c r="W160" s="1"/>
      <c r="X160" s="1"/>
      <c r="Y160" s="1"/>
      <c r="Z160" s="1"/>
      <c r="AA160" s="1"/>
    </row>
    <row r="161" ht="12.75" customHeight="1">
      <c r="A161" s="1"/>
      <c r="B161" s="140"/>
      <c r="C161" s="141"/>
      <c r="D161" s="142"/>
      <c r="E161" s="143"/>
      <c r="F161" s="144"/>
      <c r="G161" s="1"/>
      <c r="H161" s="131" t="str">
        <f t="shared" si="4"/>
        <v/>
      </c>
      <c r="I161" s="132" t="str">
        <f>IF(L161&gt;0,NbEch+Différé+1-H161,"")</f>
        <v/>
      </c>
      <c r="J161" s="145" t="str">
        <f t="shared" si="2"/>
        <v/>
      </c>
      <c r="K161" s="146" t="str">
        <f>IF(L161=0,"",IF(Ijour=0,MIN(DATE(YEAR(DebAmort),MONTH(DebAmort)+(H161-1)*Imois,Jour1),DATE(YEAR(DebAmort),MONTH(DebAmort)+1+(H161-1)*Imois,0)),DATE(YEAR(DebAmort),MONTH(DebAmort),Jour1+(H161-1)*Ijour)))</f>
        <v/>
      </c>
      <c r="L161" s="147">
        <f t="shared" si="5"/>
        <v>0</v>
      </c>
      <c r="M161" s="135">
        <f>IF(H161&lt;=NoEchMaxi,ROUND(L161*R161,NbDeci),0)</f>
        <v>0</v>
      </c>
      <c r="N161" s="134">
        <f>IF(OR(H161&lt;=Différé,H161&gt;NoEchMaxi),IF(DiffTotal,-M161,0),IF(H161&gt;=NoEchRemb,L161,IF(S161-(M161*EchFIXE)&gt;L161-2,L161,S161-(M161*EchFIXE))))+C161</f>
        <v>0</v>
      </c>
      <c r="O161" s="136">
        <f>IF(OR(L161=0,H161&gt;NoEchMaxi),0,ROUND(FraisF+FraisV*L161,NbDeci))+F161</f>
        <v>0</v>
      </c>
      <c r="P161" s="148">
        <f t="shared" si="3"/>
        <v>0</v>
      </c>
      <c r="Q161" s="1"/>
      <c r="R161" s="138">
        <f>IF(B161&gt;0,IF(TauxActuariel,((B161+1)^(1/NbEchAn))-1,B161/NbEchAn),R160)</f>
        <v>0.04</v>
      </c>
      <c r="S161" s="139">
        <f>IF(E161&gt;0,E161,IF(D161&gt;0,IF(AND(EchFIXE,R161&gt;0),ROUND((L161-C161)*R161/(1-((1+R161)^-D161)),NbDeci),ROUND(L161/D161,NbDeci)),S160))</f>
        <v>6664</v>
      </c>
      <c r="T161" s="1"/>
      <c r="U161" s="1"/>
      <c r="V161" s="1"/>
      <c r="W161" s="1"/>
      <c r="X161" s="1"/>
      <c r="Y161" s="1"/>
      <c r="Z161" s="1"/>
      <c r="AA161" s="1"/>
    </row>
    <row r="162" ht="12.75" customHeight="1">
      <c r="A162" s="1"/>
      <c r="B162" s="140"/>
      <c r="C162" s="141"/>
      <c r="D162" s="142"/>
      <c r="E162" s="143"/>
      <c r="F162" s="144"/>
      <c r="G162" s="1"/>
      <c r="H162" s="131" t="str">
        <f t="shared" si="4"/>
        <v/>
      </c>
      <c r="I162" s="132" t="str">
        <f>IF(L162&gt;0,NbEch+Différé+1-H162,"")</f>
        <v/>
      </c>
      <c r="J162" s="145" t="str">
        <f t="shared" si="2"/>
        <v/>
      </c>
      <c r="K162" s="146" t="str">
        <f>IF(L162=0,"",IF(Ijour=0,MIN(DATE(YEAR(DebAmort),MONTH(DebAmort)+MoisD+(H162-1)*Imois,Jour2),DATE(YEAR(DebAmort),MONTH(DebAmort)+MoisD+1+(H162-1)*Imois,0)),DATE(YEAR(DebAmort),MONTH(DebAmort),Jour1+(H162-1)*Ijour)))</f>
        <v/>
      </c>
      <c r="L162" s="147">
        <f t="shared" si="5"/>
        <v>0</v>
      </c>
      <c r="M162" s="135">
        <f>IF(H162&lt;=NoEchMaxi,ROUND(L162*R162,NbDeci),0)</f>
        <v>0</v>
      </c>
      <c r="N162" s="134">
        <f>IF(OR(H162&lt;=Différé,H162&gt;NoEchMaxi),IF(DiffTotal,-M162,0),IF(H162&gt;=NoEchRemb,L162,IF(S162-(M162*EchFIXE)&gt;L162-2,L162,S162-(M162*EchFIXE))))+C162</f>
        <v>0</v>
      </c>
      <c r="O162" s="136">
        <f>IF(OR(L162=0,H162&gt;NoEchMaxi),0,ROUND(FraisF+FraisV*L162,NbDeci))+F162</f>
        <v>0</v>
      </c>
      <c r="P162" s="148">
        <f t="shared" si="3"/>
        <v>0</v>
      </c>
      <c r="Q162" s="1"/>
      <c r="R162" s="138">
        <f>IF(B162&gt;0,IF(TauxActuariel,((B162+1)^(1/NbEchAn))-1,B162/NbEchAn),R161)</f>
        <v>0.04</v>
      </c>
      <c r="S162" s="139">
        <f>IF(E162&gt;0,E162,IF(D162&gt;0,IF(AND(EchFIXE,R162&gt;0),ROUND((L162-C162)*R162/(1-((1+R162)^-D162)),NbDeci),ROUND(L162/D162,NbDeci)),S161))</f>
        <v>6664</v>
      </c>
      <c r="T162" s="1"/>
      <c r="U162" s="1"/>
      <c r="V162" s="1"/>
      <c r="W162" s="1"/>
      <c r="X162" s="1"/>
      <c r="Y162" s="1"/>
      <c r="Z162" s="1"/>
      <c r="AA162" s="1"/>
    </row>
    <row r="163" ht="12.75" customHeight="1">
      <c r="A163" s="1"/>
      <c r="B163" s="140"/>
      <c r="C163" s="141"/>
      <c r="D163" s="142"/>
      <c r="E163" s="143"/>
      <c r="F163" s="144"/>
      <c r="G163" s="1"/>
      <c r="H163" s="131" t="str">
        <f t="shared" si="4"/>
        <v/>
      </c>
      <c r="I163" s="132" t="str">
        <f>IF(L163&gt;0,NbEch+Différé+1-H163,"")</f>
        <v/>
      </c>
      <c r="J163" s="145" t="str">
        <f t="shared" si="2"/>
        <v/>
      </c>
      <c r="K163" s="146" t="str">
        <f>IF(L163=0,"",IF(Ijour=0,MIN(DATE(YEAR(DebAmort),MONTH(DebAmort)+(H163-1)*Imois,Jour1),DATE(YEAR(DebAmort),MONTH(DebAmort)+1+(H163-1)*Imois,0)),DATE(YEAR(DebAmort),MONTH(DebAmort),Jour1+(H163-1)*Ijour)))</f>
        <v/>
      </c>
      <c r="L163" s="147">
        <f t="shared" si="5"/>
        <v>0</v>
      </c>
      <c r="M163" s="135">
        <f>IF(H163&lt;=NoEchMaxi,ROUND(L163*R163,NbDeci),0)</f>
        <v>0</v>
      </c>
      <c r="N163" s="134">
        <f>IF(OR(H163&lt;=Différé,H163&gt;NoEchMaxi),IF(DiffTotal,-M163,0),IF(H163&gt;=NoEchRemb,L163,IF(S163-(M163*EchFIXE)&gt;L163-2,L163,S163-(M163*EchFIXE))))+C163</f>
        <v>0</v>
      </c>
      <c r="O163" s="136">
        <f>IF(OR(L163=0,H163&gt;NoEchMaxi),0,ROUND(FraisF+FraisV*L163,NbDeci))+F163</f>
        <v>0</v>
      </c>
      <c r="P163" s="148">
        <f t="shared" si="3"/>
        <v>0</v>
      </c>
      <c r="Q163" s="1"/>
      <c r="R163" s="138">
        <f>IF(B163&gt;0,IF(TauxActuariel,((B163+1)^(1/NbEchAn))-1,B163/NbEchAn),R162)</f>
        <v>0.04</v>
      </c>
      <c r="S163" s="139">
        <f>IF(E163&gt;0,E163,IF(D163&gt;0,IF(AND(EchFIXE,R163&gt;0),ROUND((L163-C163)*R163/(1-((1+R163)^-D163)),NbDeci),ROUND(L163/D163,NbDeci)),S162))</f>
        <v>6664</v>
      </c>
      <c r="T163" s="1"/>
      <c r="U163" s="1"/>
      <c r="V163" s="1"/>
      <c r="W163" s="1"/>
      <c r="X163" s="1"/>
      <c r="Y163" s="1"/>
      <c r="Z163" s="1"/>
      <c r="AA163" s="1"/>
    </row>
    <row r="164" ht="12.75" customHeight="1">
      <c r="A164" s="1"/>
      <c r="B164" s="140"/>
      <c r="C164" s="141"/>
      <c r="D164" s="142"/>
      <c r="E164" s="143"/>
      <c r="F164" s="144"/>
      <c r="G164" s="1"/>
      <c r="H164" s="131" t="str">
        <f t="shared" si="4"/>
        <v/>
      </c>
      <c r="I164" s="132" t="str">
        <f>IF(L164&gt;0,NbEch+Différé+1-H164,"")</f>
        <v/>
      </c>
      <c r="J164" s="145" t="str">
        <f t="shared" si="2"/>
        <v/>
      </c>
      <c r="K164" s="146" t="str">
        <f>IF(L164=0,"",IF(Ijour=0,MIN(DATE(YEAR(DebAmort),MONTH(DebAmort)+MoisD+(H164-1)*Imois,Jour2),DATE(YEAR(DebAmort),MONTH(DebAmort)+MoisD+1+(H164-1)*Imois,0)),DATE(YEAR(DebAmort),MONTH(DebAmort),Jour1+(H164-1)*Ijour)))</f>
        <v/>
      </c>
      <c r="L164" s="147">
        <f t="shared" si="5"/>
        <v>0</v>
      </c>
      <c r="M164" s="135">
        <f>IF(H164&lt;=NoEchMaxi,ROUND(L164*R164,NbDeci),0)</f>
        <v>0</v>
      </c>
      <c r="N164" s="134">
        <f>IF(OR(H164&lt;=Différé,H164&gt;NoEchMaxi),IF(DiffTotal,-M164,0),IF(H164&gt;=NoEchRemb,L164,IF(S164-(M164*EchFIXE)&gt;L164-2,L164,S164-(M164*EchFIXE))))+C164</f>
        <v>0</v>
      </c>
      <c r="O164" s="136">
        <f>IF(OR(L164=0,H164&gt;NoEchMaxi),0,ROUND(FraisF+FraisV*L164,NbDeci))+F164</f>
        <v>0</v>
      </c>
      <c r="P164" s="148">
        <f t="shared" si="3"/>
        <v>0</v>
      </c>
      <c r="Q164" s="1"/>
      <c r="R164" s="138">
        <f>IF(B164&gt;0,IF(TauxActuariel,((B164+1)^(1/NbEchAn))-1,B164/NbEchAn),R163)</f>
        <v>0.04</v>
      </c>
      <c r="S164" s="139">
        <f>IF(E164&gt;0,E164,IF(D164&gt;0,IF(AND(EchFIXE,R164&gt;0),ROUND((L164-C164)*R164/(1-((1+R164)^-D164)),NbDeci),ROUND(L164/D164,NbDeci)),S163))</f>
        <v>6664</v>
      </c>
      <c r="T164" s="1"/>
      <c r="U164" s="1"/>
      <c r="V164" s="1"/>
      <c r="W164" s="1"/>
      <c r="X164" s="1"/>
      <c r="Y164" s="1"/>
      <c r="Z164" s="1"/>
      <c r="AA164" s="1"/>
    </row>
    <row r="165" ht="12.75" customHeight="1">
      <c r="A165" s="1"/>
      <c r="B165" s="140"/>
      <c r="C165" s="141"/>
      <c r="D165" s="142"/>
      <c r="E165" s="143"/>
      <c r="F165" s="144"/>
      <c r="G165" s="1"/>
      <c r="H165" s="131" t="str">
        <f t="shared" si="4"/>
        <v/>
      </c>
      <c r="I165" s="132" t="str">
        <f>IF(L165&gt;0,NbEch+Différé+1-H165,"")</f>
        <v/>
      </c>
      <c r="J165" s="145" t="str">
        <f t="shared" si="2"/>
        <v/>
      </c>
      <c r="K165" s="146" t="str">
        <f>IF(L165=0,"",IF(Ijour=0,MIN(DATE(YEAR(DebAmort),MONTH(DebAmort)+(H165-1)*Imois,Jour1),DATE(YEAR(DebAmort),MONTH(DebAmort)+1+(H165-1)*Imois,0)),DATE(YEAR(DebAmort),MONTH(DebAmort),Jour1+(H165-1)*Ijour)))</f>
        <v/>
      </c>
      <c r="L165" s="147">
        <f t="shared" si="5"/>
        <v>0</v>
      </c>
      <c r="M165" s="135">
        <f>IF(H165&lt;=NoEchMaxi,ROUND(L165*R165,NbDeci),0)</f>
        <v>0</v>
      </c>
      <c r="N165" s="134">
        <f>IF(OR(H165&lt;=Différé,H165&gt;NoEchMaxi),IF(DiffTotal,-M165,0),IF(H165&gt;=NoEchRemb,L165,IF(S165-(M165*EchFIXE)&gt;L165-2,L165,S165-(M165*EchFIXE))))+C165</f>
        <v>0</v>
      </c>
      <c r="O165" s="136">
        <f>IF(OR(L165=0,H165&gt;NoEchMaxi),0,ROUND(FraisF+FraisV*L165,NbDeci))+F165</f>
        <v>0</v>
      </c>
      <c r="P165" s="148">
        <f t="shared" si="3"/>
        <v>0</v>
      </c>
      <c r="Q165" s="1"/>
      <c r="R165" s="138">
        <f>IF(B165&gt;0,IF(TauxActuariel,((B165+1)^(1/NbEchAn))-1,B165/NbEchAn),R164)</f>
        <v>0.04</v>
      </c>
      <c r="S165" s="139">
        <f>IF(E165&gt;0,E165,IF(D165&gt;0,IF(AND(EchFIXE,R165&gt;0),ROUND((L165-C165)*R165/(1-((1+R165)^-D165)),NbDeci),ROUND(L165/D165,NbDeci)),S164))</f>
        <v>6664</v>
      </c>
      <c r="T165" s="1"/>
      <c r="U165" s="1"/>
      <c r="V165" s="1"/>
      <c r="W165" s="1"/>
      <c r="X165" s="1"/>
      <c r="Y165" s="1"/>
      <c r="Z165" s="1"/>
      <c r="AA165" s="1"/>
    </row>
    <row r="166" ht="12.75" customHeight="1">
      <c r="A166" s="1"/>
      <c r="B166" s="140"/>
      <c r="C166" s="141"/>
      <c r="D166" s="142"/>
      <c r="E166" s="143"/>
      <c r="F166" s="144"/>
      <c r="G166" s="1"/>
      <c r="H166" s="131" t="str">
        <f t="shared" si="4"/>
        <v/>
      </c>
      <c r="I166" s="132" t="str">
        <f>IF(L166&gt;0,NbEch+Différé+1-H166,"")</f>
        <v/>
      </c>
      <c r="J166" s="145" t="str">
        <f t="shared" si="2"/>
        <v/>
      </c>
      <c r="K166" s="146" t="str">
        <f>IF(L166=0,"",IF(Ijour=0,MIN(DATE(YEAR(DebAmort),MONTH(DebAmort)+MoisD+(H166-1)*Imois,Jour2),DATE(YEAR(DebAmort),MONTH(DebAmort)+MoisD+1+(H166-1)*Imois,0)),DATE(YEAR(DebAmort),MONTH(DebAmort),Jour1+(H166-1)*Ijour)))</f>
        <v/>
      </c>
      <c r="L166" s="147">
        <f t="shared" si="5"/>
        <v>0</v>
      </c>
      <c r="M166" s="135">
        <f>IF(H166&lt;=NoEchMaxi,ROUND(L166*R166,NbDeci),0)</f>
        <v>0</v>
      </c>
      <c r="N166" s="134">
        <f>IF(OR(H166&lt;=Différé,H166&gt;NoEchMaxi),IF(DiffTotal,-M166,0),IF(H166&gt;=NoEchRemb,L166,IF(S166-(M166*EchFIXE)&gt;L166-2,L166,S166-(M166*EchFIXE))))+C166</f>
        <v>0</v>
      </c>
      <c r="O166" s="136">
        <f>IF(OR(L166=0,H166&gt;NoEchMaxi),0,ROUND(FraisF+FraisV*L166,NbDeci))+F166</f>
        <v>0</v>
      </c>
      <c r="P166" s="148">
        <f t="shared" si="3"/>
        <v>0</v>
      </c>
      <c r="Q166" s="1"/>
      <c r="R166" s="138">
        <f>IF(B166&gt;0,IF(TauxActuariel,((B166+1)^(1/NbEchAn))-1,B166/NbEchAn),R165)</f>
        <v>0.04</v>
      </c>
      <c r="S166" s="139">
        <f>IF(E166&gt;0,E166,IF(D166&gt;0,IF(AND(EchFIXE,R166&gt;0),ROUND((L166-C166)*R166/(1-((1+R166)^-D166)),NbDeci),ROUND(L166/D166,NbDeci)),S165))</f>
        <v>6664</v>
      </c>
      <c r="T166" s="1"/>
      <c r="U166" s="1"/>
      <c r="V166" s="1"/>
      <c r="W166" s="1"/>
      <c r="X166" s="1"/>
      <c r="Y166" s="1"/>
      <c r="Z166" s="1"/>
      <c r="AA166" s="1"/>
    </row>
    <row r="167" ht="12.75" customHeight="1">
      <c r="A167" s="1"/>
      <c r="B167" s="140"/>
      <c r="C167" s="141"/>
      <c r="D167" s="142"/>
      <c r="E167" s="143"/>
      <c r="F167" s="144"/>
      <c r="G167" s="1"/>
      <c r="H167" s="131" t="str">
        <f t="shared" si="4"/>
        <v/>
      </c>
      <c r="I167" s="132" t="str">
        <f>IF(L167&gt;0,NbEch+Différé+1-H167,"")</f>
        <v/>
      </c>
      <c r="J167" s="145" t="str">
        <f t="shared" si="2"/>
        <v/>
      </c>
      <c r="K167" s="146" t="str">
        <f>IF(L167=0,"",IF(Ijour=0,MIN(DATE(YEAR(DebAmort),MONTH(DebAmort)+(H167-1)*Imois,Jour1),DATE(YEAR(DebAmort),MONTH(DebAmort)+1+(H167-1)*Imois,0)),DATE(YEAR(DebAmort),MONTH(DebAmort),Jour1+(H167-1)*Ijour)))</f>
        <v/>
      </c>
      <c r="L167" s="147">
        <f t="shared" si="5"/>
        <v>0</v>
      </c>
      <c r="M167" s="135">
        <f>IF(H167&lt;=NoEchMaxi,ROUND(L167*R167,NbDeci),0)</f>
        <v>0</v>
      </c>
      <c r="N167" s="134">
        <f>IF(OR(H167&lt;=Différé,H167&gt;NoEchMaxi),IF(DiffTotal,-M167,0),IF(H167&gt;=NoEchRemb,L167,IF(S167-(M167*EchFIXE)&gt;L167-2,L167,S167-(M167*EchFIXE))))+C167</f>
        <v>0</v>
      </c>
      <c r="O167" s="136">
        <f>IF(OR(L167=0,H167&gt;NoEchMaxi),0,ROUND(FraisF+FraisV*L167,NbDeci))+F167</f>
        <v>0</v>
      </c>
      <c r="P167" s="148">
        <f t="shared" si="3"/>
        <v>0</v>
      </c>
      <c r="Q167" s="1"/>
      <c r="R167" s="138">
        <f>IF(B167&gt;0,IF(TauxActuariel,((B167+1)^(1/NbEchAn))-1,B167/NbEchAn),R166)</f>
        <v>0.04</v>
      </c>
      <c r="S167" s="139">
        <f>IF(E167&gt;0,E167,IF(D167&gt;0,IF(AND(EchFIXE,R167&gt;0),ROUND((L167-C167)*R167/(1-((1+R167)^-D167)),NbDeci),ROUND(L167/D167,NbDeci)),S166))</f>
        <v>6664</v>
      </c>
      <c r="T167" s="1"/>
      <c r="U167" s="1"/>
      <c r="V167" s="1"/>
      <c r="W167" s="1"/>
      <c r="X167" s="1"/>
      <c r="Y167" s="1"/>
      <c r="Z167" s="1"/>
      <c r="AA167" s="1"/>
    </row>
    <row r="168" ht="12.75" customHeight="1">
      <c r="A168" s="1"/>
      <c r="B168" s="140"/>
      <c r="C168" s="141"/>
      <c r="D168" s="142"/>
      <c r="E168" s="143"/>
      <c r="F168" s="144"/>
      <c r="G168" s="1"/>
      <c r="H168" s="131" t="str">
        <f t="shared" si="4"/>
        <v/>
      </c>
      <c r="I168" s="132" t="str">
        <f>IF(L168&gt;0,NbEch+Différé+1-H168,"")</f>
        <v/>
      </c>
      <c r="J168" s="145" t="str">
        <f t="shared" si="2"/>
        <v/>
      </c>
      <c r="K168" s="146" t="str">
        <f>IF(L168=0,"",IF(Ijour=0,MIN(DATE(YEAR(DebAmort),MONTH(DebAmort)+MoisD+(H168-1)*Imois,Jour2),DATE(YEAR(DebAmort),MONTH(DebAmort)+MoisD+1+(H168-1)*Imois,0)),DATE(YEAR(DebAmort),MONTH(DebAmort),Jour1+(H168-1)*Ijour)))</f>
        <v/>
      </c>
      <c r="L168" s="147">
        <f t="shared" si="5"/>
        <v>0</v>
      </c>
      <c r="M168" s="135">
        <f>IF(H168&lt;=NoEchMaxi,ROUND(L168*R168,NbDeci),0)</f>
        <v>0</v>
      </c>
      <c r="N168" s="134">
        <f>IF(OR(H168&lt;=Différé,H168&gt;NoEchMaxi),IF(DiffTotal,-M168,0),IF(H168&gt;=NoEchRemb,L168,IF(S168-(M168*EchFIXE)&gt;L168-2,L168,S168-(M168*EchFIXE))))+C168</f>
        <v>0</v>
      </c>
      <c r="O168" s="136">
        <f>IF(OR(L168=0,H168&gt;NoEchMaxi),0,ROUND(FraisF+FraisV*L168,NbDeci))+F168</f>
        <v>0</v>
      </c>
      <c r="P168" s="148">
        <f t="shared" si="3"/>
        <v>0</v>
      </c>
      <c r="Q168" s="1"/>
      <c r="R168" s="138">
        <f>IF(B168&gt;0,IF(TauxActuariel,((B168+1)^(1/NbEchAn))-1,B168/NbEchAn),R167)</f>
        <v>0.04</v>
      </c>
      <c r="S168" s="139">
        <f>IF(E168&gt;0,E168,IF(D168&gt;0,IF(AND(EchFIXE,R168&gt;0),ROUND((L168-C168)*R168/(1-((1+R168)^-D168)),NbDeci),ROUND(L168/D168,NbDeci)),S167))</f>
        <v>6664</v>
      </c>
      <c r="T168" s="1"/>
      <c r="U168" s="1"/>
      <c r="V168" s="1"/>
      <c r="W168" s="1"/>
      <c r="X168" s="1"/>
      <c r="Y168" s="1"/>
      <c r="Z168" s="1"/>
      <c r="AA168" s="1"/>
    </row>
    <row r="169" ht="12.75" customHeight="1">
      <c r="A169" s="1"/>
      <c r="B169" s="140"/>
      <c r="C169" s="141"/>
      <c r="D169" s="142"/>
      <c r="E169" s="143"/>
      <c r="F169" s="144"/>
      <c r="G169" s="1"/>
      <c r="H169" s="131" t="str">
        <f t="shared" si="4"/>
        <v/>
      </c>
      <c r="I169" s="132" t="str">
        <f>IF(L169&gt;0,NbEch+Différé+1-H169,"")</f>
        <v/>
      </c>
      <c r="J169" s="145" t="str">
        <f t="shared" si="2"/>
        <v/>
      </c>
      <c r="K169" s="146" t="str">
        <f>IF(L169=0,"",IF(Ijour=0,MIN(DATE(YEAR(DebAmort),MONTH(DebAmort)+(H169-1)*Imois,Jour1),DATE(YEAR(DebAmort),MONTH(DebAmort)+1+(H169-1)*Imois,0)),DATE(YEAR(DebAmort),MONTH(DebAmort),Jour1+(H169-1)*Ijour)))</f>
        <v/>
      </c>
      <c r="L169" s="147">
        <f t="shared" si="5"/>
        <v>0</v>
      </c>
      <c r="M169" s="135">
        <f>IF(H169&lt;=NoEchMaxi,ROUND(L169*R169,NbDeci),0)</f>
        <v>0</v>
      </c>
      <c r="N169" s="134">
        <f>IF(OR(H169&lt;=Différé,H169&gt;NoEchMaxi),IF(DiffTotal,-M169,0),IF(H169&gt;=NoEchRemb,L169,IF(S169-(M169*EchFIXE)&gt;L169-2,L169,S169-(M169*EchFIXE))))+C169</f>
        <v>0</v>
      </c>
      <c r="O169" s="136">
        <f>IF(OR(L169=0,H169&gt;NoEchMaxi),0,ROUND(FraisF+FraisV*L169,NbDeci))+F169</f>
        <v>0</v>
      </c>
      <c r="P169" s="148">
        <f t="shared" si="3"/>
        <v>0</v>
      </c>
      <c r="Q169" s="1"/>
      <c r="R169" s="138">
        <f>IF(B169&gt;0,IF(TauxActuariel,((B169+1)^(1/NbEchAn))-1,B169/NbEchAn),R168)</f>
        <v>0.04</v>
      </c>
      <c r="S169" s="139">
        <f>IF(E169&gt;0,E169,IF(D169&gt;0,IF(AND(EchFIXE,R169&gt;0),ROUND((L169-C169)*R169/(1-((1+R169)^-D169)),NbDeci),ROUND(L169/D169,NbDeci)),S168))</f>
        <v>6664</v>
      </c>
      <c r="T169" s="1"/>
      <c r="U169" s="1"/>
      <c r="V169" s="1"/>
      <c r="W169" s="1"/>
      <c r="X169" s="1"/>
      <c r="Y169" s="1"/>
      <c r="Z169" s="1"/>
      <c r="AA169" s="1"/>
    </row>
    <row r="170" ht="12.75" customHeight="1">
      <c r="A170" s="1"/>
      <c r="B170" s="140"/>
      <c r="C170" s="141"/>
      <c r="D170" s="142"/>
      <c r="E170" s="143"/>
      <c r="F170" s="144"/>
      <c r="G170" s="1"/>
      <c r="H170" s="131" t="str">
        <f t="shared" si="4"/>
        <v/>
      </c>
      <c r="I170" s="132" t="str">
        <f>IF(L170&gt;0,NbEch+Différé+1-H170,"")</f>
        <v/>
      </c>
      <c r="J170" s="145" t="str">
        <f t="shared" si="2"/>
        <v/>
      </c>
      <c r="K170" s="146" t="str">
        <f>IF(L170=0,"",IF(Ijour=0,MIN(DATE(YEAR(DebAmort),MONTH(DebAmort)+MoisD+(H170-1)*Imois,Jour2),DATE(YEAR(DebAmort),MONTH(DebAmort)+MoisD+1+(H170-1)*Imois,0)),DATE(YEAR(DebAmort),MONTH(DebAmort),Jour1+(H170-1)*Ijour)))</f>
        <v/>
      </c>
      <c r="L170" s="147">
        <f t="shared" si="5"/>
        <v>0</v>
      </c>
      <c r="M170" s="135">
        <f>IF(H170&lt;=NoEchMaxi,ROUND(L170*R170,NbDeci),0)</f>
        <v>0</v>
      </c>
      <c r="N170" s="134">
        <f>IF(OR(H170&lt;=Différé,H170&gt;NoEchMaxi),IF(DiffTotal,-M170,0),IF(H170&gt;=NoEchRemb,L170,IF(S170-(M170*EchFIXE)&gt;L170-2,L170,S170-(M170*EchFIXE))))+C170</f>
        <v>0</v>
      </c>
      <c r="O170" s="136">
        <f>IF(OR(L170=0,H170&gt;NoEchMaxi),0,ROUND(FraisF+FraisV*L170,NbDeci))+F170</f>
        <v>0</v>
      </c>
      <c r="P170" s="148">
        <f t="shared" si="3"/>
        <v>0</v>
      </c>
      <c r="Q170" s="1"/>
      <c r="R170" s="138">
        <f>IF(B170&gt;0,IF(TauxActuariel,((B170+1)^(1/NbEchAn))-1,B170/NbEchAn),R169)</f>
        <v>0.04</v>
      </c>
      <c r="S170" s="139">
        <f>IF(E170&gt;0,E170,IF(D170&gt;0,IF(AND(EchFIXE,R170&gt;0),ROUND((L170-C170)*R170/(1-((1+R170)^-D170)),NbDeci),ROUND(L170/D170,NbDeci)),S169))</f>
        <v>6664</v>
      </c>
      <c r="T170" s="1"/>
      <c r="U170" s="1"/>
      <c r="V170" s="1"/>
      <c r="W170" s="1"/>
      <c r="X170" s="1"/>
      <c r="Y170" s="1"/>
      <c r="Z170" s="1"/>
      <c r="AA170" s="1"/>
    </row>
    <row r="171" ht="12.75" customHeight="1">
      <c r="A171" s="1"/>
      <c r="B171" s="140"/>
      <c r="C171" s="141"/>
      <c r="D171" s="142"/>
      <c r="E171" s="143"/>
      <c r="F171" s="144"/>
      <c r="G171" s="1"/>
      <c r="H171" s="131" t="str">
        <f t="shared" si="4"/>
        <v/>
      </c>
      <c r="I171" s="132" t="str">
        <f>IF(L171&gt;0,NbEch+Différé+1-H171,"")</f>
        <v/>
      </c>
      <c r="J171" s="145" t="str">
        <f t="shared" si="2"/>
        <v/>
      </c>
      <c r="K171" s="146" t="str">
        <f>IF(L171=0,"",IF(Ijour=0,MIN(DATE(YEAR(DebAmort),MONTH(DebAmort)+(H171-1)*Imois,Jour1),DATE(YEAR(DebAmort),MONTH(DebAmort)+1+(H171-1)*Imois,0)),DATE(YEAR(DebAmort),MONTH(DebAmort),Jour1+(H171-1)*Ijour)))</f>
        <v/>
      </c>
      <c r="L171" s="147">
        <f t="shared" si="5"/>
        <v>0</v>
      </c>
      <c r="M171" s="135">
        <f>IF(H171&lt;=NoEchMaxi,ROUND(L171*R171,NbDeci),0)</f>
        <v>0</v>
      </c>
      <c r="N171" s="134">
        <f>IF(OR(H171&lt;=Différé,H171&gt;NoEchMaxi),IF(DiffTotal,-M171,0),IF(H171&gt;=NoEchRemb,L171,IF(S171-(M171*EchFIXE)&gt;L171-2,L171,S171-(M171*EchFIXE))))+C171</f>
        <v>0</v>
      </c>
      <c r="O171" s="136">
        <f>IF(OR(L171=0,H171&gt;NoEchMaxi),0,ROUND(FraisF+FraisV*L171,NbDeci))+F171</f>
        <v>0</v>
      </c>
      <c r="P171" s="148">
        <f t="shared" si="3"/>
        <v>0</v>
      </c>
      <c r="Q171" s="1"/>
      <c r="R171" s="138">
        <f>IF(B171&gt;0,IF(TauxActuariel,((B171+1)^(1/NbEchAn))-1,B171/NbEchAn),R170)</f>
        <v>0.04</v>
      </c>
      <c r="S171" s="139">
        <f>IF(E171&gt;0,E171,IF(D171&gt;0,IF(AND(EchFIXE,R171&gt;0),ROUND((L171-C171)*R171/(1-((1+R171)^-D171)),NbDeci),ROUND(L171/D171,NbDeci)),S170))</f>
        <v>6664</v>
      </c>
      <c r="T171" s="1"/>
      <c r="U171" s="1"/>
      <c r="V171" s="1"/>
      <c r="W171" s="1"/>
      <c r="X171" s="1"/>
      <c r="Y171" s="1"/>
      <c r="Z171" s="1"/>
      <c r="AA171" s="1"/>
    </row>
    <row r="172" ht="12.75" customHeight="1">
      <c r="A172" s="1"/>
      <c r="B172" s="140"/>
      <c r="C172" s="141"/>
      <c r="D172" s="142"/>
      <c r="E172" s="143"/>
      <c r="F172" s="144"/>
      <c r="G172" s="1"/>
      <c r="H172" s="131" t="str">
        <f t="shared" si="4"/>
        <v/>
      </c>
      <c r="I172" s="132" t="str">
        <f>IF(L172&gt;0,NbEch+Différé+1-H172,"")</f>
        <v/>
      </c>
      <c r="J172" s="145" t="str">
        <f t="shared" si="2"/>
        <v/>
      </c>
      <c r="K172" s="146" t="str">
        <f>IF(L172=0,"",IF(Ijour=0,MIN(DATE(YEAR(DebAmort),MONTH(DebAmort)+MoisD+(H172-1)*Imois,Jour2),DATE(YEAR(DebAmort),MONTH(DebAmort)+MoisD+1+(H172-1)*Imois,0)),DATE(YEAR(DebAmort),MONTH(DebAmort),Jour1+(H172-1)*Ijour)))</f>
        <v/>
      </c>
      <c r="L172" s="147">
        <f t="shared" si="5"/>
        <v>0</v>
      </c>
      <c r="M172" s="135">
        <f>IF(H172&lt;=NoEchMaxi,ROUND(L172*R172,NbDeci),0)</f>
        <v>0</v>
      </c>
      <c r="N172" s="134">
        <f>IF(OR(H172&lt;=Différé,H172&gt;NoEchMaxi),IF(DiffTotal,-M172,0),IF(H172&gt;=NoEchRemb,L172,IF(S172-(M172*EchFIXE)&gt;L172-2,L172,S172-(M172*EchFIXE))))+C172</f>
        <v>0</v>
      </c>
      <c r="O172" s="136">
        <f>IF(OR(L172=0,H172&gt;NoEchMaxi),0,ROUND(FraisF+FraisV*L172,NbDeci))+F172</f>
        <v>0</v>
      </c>
      <c r="P172" s="148">
        <f t="shared" si="3"/>
        <v>0</v>
      </c>
      <c r="Q172" s="1"/>
      <c r="R172" s="138">
        <f>IF(B172&gt;0,IF(TauxActuariel,((B172+1)^(1/NbEchAn))-1,B172/NbEchAn),R171)</f>
        <v>0.04</v>
      </c>
      <c r="S172" s="139">
        <f>IF(E172&gt;0,E172,IF(D172&gt;0,IF(AND(EchFIXE,R172&gt;0),ROUND((L172-C172)*R172/(1-((1+R172)^-D172)),NbDeci),ROUND(L172/D172,NbDeci)),S171))</f>
        <v>6664</v>
      </c>
      <c r="T172" s="1"/>
      <c r="U172" s="1"/>
      <c r="V172" s="1"/>
      <c r="W172" s="1"/>
      <c r="X172" s="1"/>
      <c r="Y172" s="1"/>
      <c r="Z172" s="1"/>
      <c r="AA172" s="1"/>
    </row>
    <row r="173" ht="12.75" customHeight="1">
      <c r="A173" s="1"/>
      <c r="B173" s="140"/>
      <c r="C173" s="141"/>
      <c r="D173" s="142"/>
      <c r="E173" s="143"/>
      <c r="F173" s="144"/>
      <c r="G173" s="1"/>
      <c r="H173" s="131" t="str">
        <f t="shared" si="4"/>
        <v/>
      </c>
      <c r="I173" s="132" t="str">
        <f>IF(L173&gt;0,NbEch+Différé+1-H173,"")</f>
        <v/>
      </c>
      <c r="J173" s="145" t="str">
        <f t="shared" si="2"/>
        <v/>
      </c>
      <c r="K173" s="146" t="str">
        <f>IF(L173=0,"",IF(Ijour=0,MIN(DATE(YEAR(DebAmort),MONTH(DebAmort)+(H173-1)*Imois,Jour1),DATE(YEAR(DebAmort),MONTH(DebAmort)+1+(H173-1)*Imois,0)),DATE(YEAR(DebAmort),MONTH(DebAmort),Jour1+(H173-1)*Ijour)))</f>
        <v/>
      </c>
      <c r="L173" s="147">
        <f t="shared" si="5"/>
        <v>0</v>
      </c>
      <c r="M173" s="135">
        <f>IF(H173&lt;=NoEchMaxi,ROUND(L173*R173,NbDeci),0)</f>
        <v>0</v>
      </c>
      <c r="N173" s="134">
        <f>IF(OR(H173&lt;=Différé,H173&gt;NoEchMaxi),IF(DiffTotal,-M173,0),IF(H173&gt;=NoEchRemb,L173,IF(S173-(M173*EchFIXE)&gt;L173-2,L173,S173-(M173*EchFIXE))))+C173</f>
        <v>0</v>
      </c>
      <c r="O173" s="136">
        <f>IF(OR(L173=0,H173&gt;NoEchMaxi),0,ROUND(FraisF+FraisV*L173,NbDeci))+F173</f>
        <v>0</v>
      </c>
      <c r="P173" s="148">
        <f t="shared" si="3"/>
        <v>0</v>
      </c>
      <c r="Q173" s="1"/>
      <c r="R173" s="138">
        <f>IF(B173&gt;0,IF(TauxActuariel,((B173+1)^(1/NbEchAn))-1,B173/NbEchAn),R172)</f>
        <v>0.04</v>
      </c>
      <c r="S173" s="139">
        <f>IF(E173&gt;0,E173,IF(D173&gt;0,IF(AND(EchFIXE,R173&gt;0),ROUND((L173-C173)*R173/(1-((1+R173)^-D173)),NbDeci),ROUND(L173/D173,NbDeci)),S172))</f>
        <v>6664</v>
      </c>
      <c r="T173" s="1"/>
      <c r="U173" s="1"/>
      <c r="V173" s="1"/>
      <c r="W173" s="1"/>
      <c r="X173" s="1"/>
      <c r="Y173" s="1"/>
      <c r="Z173" s="1"/>
      <c r="AA173" s="1"/>
    </row>
    <row r="174" ht="12.75" customHeight="1">
      <c r="A174" s="1"/>
      <c r="B174" s="140"/>
      <c r="C174" s="141"/>
      <c r="D174" s="142"/>
      <c r="E174" s="143"/>
      <c r="F174" s="144"/>
      <c r="G174" s="1"/>
      <c r="H174" s="131" t="str">
        <f t="shared" si="4"/>
        <v/>
      </c>
      <c r="I174" s="132" t="str">
        <f>IF(L174&gt;0,NbEch+Différé+1-H174,"")</f>
        <v/>
      </c>
      <c r="J174" s="145" t="str">
        <f t="shared" si="2"/>
        <v/>
      </c>
      <c r="K174" s="146" t="str">
        <f>IF(L174=0,"",IF(Ijour=0,MIN(DATE(YEAR(DebAmort),MONTH(DebAmort)+MoisD+(H174-1)*Imois,Jour2),DATE(YEAR(DebAmort),MONTH(DebAmort)+MoisD+1+(H174-1)*Imois,0)),DATE(YEAR(DebAmort),MONTH(DebAmort),Jour1+(H174-1)*Ijour)))</f>
        <v/>
      </c>
      <c r="L174" s="147">
        <f t="shared" si="5"/>
        <v>0</v>
      </c>
      <c r="M174" s="135">
        <f>IF(H174&lt;=NoEchMaxi,ROUND(L174*R174,NbDeci),0)</f>
        <v>0</v>
      </c>
      <c r="N174" s="134">
        <f>IF(OR(H174&lt;=Différé,H174&gt;NoEchMaxi),IF(DiffTotal,-M174,0),IF(H174&gt;=NoEchRemb,L174,IF(S174-(M174*EchFIXE)&gt;L174-2,L174,S174-(M174*EchFIXE))))+C174</f>
        <v>0</v>
      </c>
      <c r="O174" s="136">
        <f>IF(OR(L174=0,H174&gt;NoEchMaxi),0,ROUND(FraisF+FraisV*L174,NbDeci))+F174</f>
        <v>0</v>
      </c>
      <c r="P174" s="148">
        <f t="shared" si="3"/>
        <v>0</v>
      </c>
      <c r="Q174" s="1"/>
      <c r="R174" s="138">
        <f>IF(B174&gt;0,IF(TauxActuariel,((B174+1)^(1/NbEchAn))-1,B174/NbEchAn),R173)</f>
        <v>0.04</v>
      </c>
      <c r="S174" s="139">
        <f>IF(E174&gt;0,E174,IF(D174&gt;0,IF(AND(EchFIXE,R174&gt;0),ROUND((L174-C174)*R174/(1-((1+R174)^-D174)),NbDeci),ROUND(L174/D174,NbDeci)),S173))</f>
        <v>6664</v>
      </c>
      <c r="T174" s="1"/>
      <c r="U174" s="1"/>
      <c r="V174" s="1"/>
      <c r="W174" s="1"/>
      <c r="X174" s="1"/>
      <c r="Y174" s="1"/>
      <c r="Z174" s="1"/>
      <c r="AA174" s="1"/>
    </row>
    <row r="175" ht="12.75" customHeight="1">
      <c r="A175" s="1"/>
      <c r="B175" s="140"/>
      <c r="C175" s="141"/>
      <c r="D175" s="142"/>
      <c r="E175" s="143"/>
      <c r="F175" s="144"/>
      <c r="G175" s="1"/>
      <c r="H175" s="131" t="str">
        <f t="shared" si="4"/>
        <v/>
      </c>
      <c r="I175" s="132" t="str">
        <f>IF(L175&gt;0,NbEch+Différé+1-H175,"")</f>
        <v/>
      </c>
      <c r="J175" s="145" t="str">
        <f t="shared" si="2"/>
        <v/>
      </c>
      <c r="K175" s="146" t="str">
        <f>IF(L175=0,"",IF(Ijour=0,MIN(DATE(YEAR(DebAmort),MONTH(DebAmort)+(H175-1)*Imois,Jour1),DATE(YEAR(DebAmort),MONTH(DebAmort)+1+(H175-1)*Imois,0)),DATE(YEAR(DebAmort),MONTH(DebAmort),Jour1+(H175-1)*Ijour)))</f>
        <v/>
      </c>
      <c r="L175" s="147">
        <f t="shared" si="5"/>
        <v>0</v>
      </c>
      <c r="M175" s="135">
        <f>IF(H175&lt;=NoEchMaxi,ROUND(L175*R175,NbDeci),0)</f>
        <v>0</v>
      </c>
      <c r="N175" s="134">
        <f>IF(OR(H175&lt;=Différé,H175&gt;NoEchMaxi),IF(DiffTotal,-M175,0),IF(H175&gt;=NoEchRemb,L175,IF(S175-(M175*EchFIXE)&gt;L175-2,L175,S175-(M175*EchFIXE))))+C175</f>
        <v>0</v>
      </c>
      <c r="O175" s="136">
        <f>IF(OR(L175=0,H175&gt;NoEchMaxi),0,ROUND(FraisF+FraisV*L175,NbDeci))+F175</f>
        <v>0</v>
      </c>
      <c r="P175" s="148">
        <f t="shared" si="3"/>
        <v>0</v>
      </c>
      <c r="Q175" s="1"/>
      <c r="R175" s="138">
        <f>IF(B175&gt;0,IF(TauxActuariel,((B175+1)^(1/NbEchAn))-1,B175/NbEchAn),R174)</f>
        <v>0.04</v>
      </c>
      <c r="S175" s="139">
        <f>IF(E175&gt;0,E175,IF(D175&gt;0,IF(AND(EchFIXE,R175&gt;0),ROUND((L175-C175)*R175/(1-((1+R175)^-D175)),NbDeci),ROUND(L175/D175,NbDeci)),S174))</f>
        <v>6664</v>
      </c>
      <c r="T175" s="1"/>
      <c r="U175" s="1"/>
      <c r="V175" s="1"/>
      <c r="W175" s="1"/>
      <c r="X175" s="1"/>
      <c r="Y175" s="1"/>
      <c r="Z175" s="1"/>
      <c r="AA175" s="1"/>
    </row>
    <row r="176" ht="12.75" customHeight="1">
      <c r="A176" s="1"/>
      <c r="B176" s="140"/>
      <c r="C176" s="141"/>
      <c r="D176" s="142"/>
      <c r="E176" s="143"/>
      <c r="F176" s="144"/>
      <c r="G176" s="1"/>
      <c r="H176" s="131" t="str">
        <f t="shared" si="4"/>
        <v/>
      </c>
      <c r="I176" s="132" t="str">
        <f>IF(L176&gt;0,NbEch+Différé+1-H176,"")</f>
        <v/>
      </c>
      <c r="J176" s="145" t="str">
        <f t="shared" si="2"/>
        <v/>
      </c>
      <c r="K176" s="146" t="str">
        <f>IF(L176=0,"",IF(Ijour=0,MIN(DATE(YEAR(DebAmort),MONTH(DebAmort)+MoisD+(H176-1)*Imois,Jour2),DATE(YEAR(DebAmort),MONTH(DebAmort)+MoisD+1+(H176-1)*Imois,0)),DATE(YEAR(DebAmort),MONTH(DebAmort),Jour1+(H176-1)*Ijour)))</f>
        <v/>
      </c>
      <c r="L176" s="147">
        <f t="shared" si="5"/>
        <v>0</v>
      </c>
      <c r="M176" s="135">
        <f>IF(H176&lt;=NoEchMaxi,ROUND(L176*R176,NbDeci),0)</f>
        <v>0</v>
      </c>
      <c r="N176" s="134">
        <f>IF(OR(H176&lt;=Différé,H176&gt;NoEchMaxi),IF(DiffTotal,-M176,0),IF(H176&gt;=NoEchRemb,L176,IF(S176-(M176*EchFIXE)&gt;L176-2,L176,S176-(M176*EchFIXE))))+C176</f>
        <v>0</v>
      </c>
      <c r="O176" s="136">
        <f>IF(OR(L176=0,H176&gt;NoEchMaxi),0,ROUND(FraisF+FraisV*L176,NbDeci))+F176</f>
        <v>0</v>
      </c>
      <c r="P176" s="148">
        <f t="shared" si="3"/>
        <v>0</v>
      </c>
      <c r="Q176" s="1"/>
      <c r="R176" s="138">
        <f>IF(B176&gt;0,IF(TauxActuariel,((B176+1)^(1/NbEchAn))-1,B176/NbEchAn),R175)</f>
        <v>0.04</v>
      </c>
      <c r="S176" s="139">
        <f>IF(E176&gt;0,E176,IF(D176&gt;0,IF(AND(EchFIXE,R176&gt;0),ROUND((L176-C176)*R176/(1-((1+R176)^-D176)),NbDeci),ROUND(L176/D176,NbDeci)),S175))</f>
        <v>6664</v>
      </c>
      <c r="T176" s="1"/>
      <c r="U176" s="1"/>
      <c r="V176" s="1"/>
      <c r="W176" s="1"/>
      <c r="X176" s="1"/>
      <c r="Y176" s="1"/>
      <c r="Z176" s="1"/>
      <c r="AA176" s="1"/>
    </row>
    <row r="177" ht="12.75" customHeight="1">
      <c r="A177" s="1"/>
      <c r="B177" s="140"/>
      <c r="C177" s="141"/>
      <c r="D177" s="142"/>
      <c r="E177" s="143"/>
      <c r="F177" s="144"/>
      <c r="G177" s="1"/>
      <c r="H177" s="131" t="str">
        <f t="shared" si="4"/>
        <v/>
      </c>
      <c r="I177" s="132" t="str">
        <f>IF(L177&gt;0,NbEch+Différé+1-H177,"")</f>
        <v/>
      </c>
      <c r="J177" s="145" t="str">
        <f t="shared" si="2"/>
        <v/>
      </c>
      <c r="K177" s="146" t="str">
        <f>IF(L177=0,"",IF(Ijour=0,MIN(DATE(YEAR(DebAmort),MONTH(DebAmort)+(H177-1)*Imois,Jour1),DATE(YEAR(DebAmort),MONTH(DebAmort)+1+(H177-1)*Imois,0)),DATE(YEAR(DebAmort),MONTH(DebAmort),Jour1+(H177-1)*Ijour)))</f>
        <v/>
      </c>
      <c r="L177" s="147">
        <f t="shared" si="5"/>
        <v>0</v>
      </c>
      <c r="M177" s="135">
        <f>IF(H177&lt;=NoEchMaxi,ROUND(L177*R177,NbDeci),0)</f>
        <v>0</v>
      </c>
      <c r="N177" s="134">
        <f>IF(OR(H177&lt;=Différé,H177&gt;NoEchMaxi),IF(DiffTotal,-M177,0),IF(H177&gt;=NoEchRemb,L177,IF(S177-(M177*EchFIXE)&gt;L177-2,L177,S177-(M177*EchFIXE))))+C177</f>
        <v>0</v>
      </c>
      <c r="O177" s="136">
        <f>IF(OR(L177=0,H177&gt;NoEchMaxi),0,ROUND(FraisF+FraisV*L177,NbDeci))+F177</f>
        <v>0</v>
      </c>
      <c r="P177" s="148">
        <f t="shared" si="3"/>
        <v>0</v>
      </c>
      <c r="Q177" s="1"/>
      <c r="R177" s="138">
        <f>IF(B177&gt;0,IF(TauxActuariel,((B177+1)^(1/NbEchAn))-1,B177/NbEchAn),R176)</f>
        <v>0.04</v>
      </c>
      <c r="S177" s="139">
        <f>IF(E177&gt;0,E177,IF(D177&gt;0,IF(AND(EchFIXE,R177&gt;0),ROUND((L177-C177)*R177/(1-((1+R177)^-D177)),NbDeci),ROUND(L177/D177,NbDeci)),S176))</f>
        <v>6664</v>
      </c>
      <c r="T177" s="1"/>
      <c r="U177" s="1"/>
      <c r="V177" s="1"/>
      <c r="W177" s="1"/>
      <c r="X177" s="1"/>
      <c r="Y177" s="1"/>
      <c r="Z177" s="1"/>
      <c r="AA177" s="1"/>
    </row>
    <row r="178" ht="12.75" customHeight="1">
      <c r="A178" s="1"/>
      <c r="B178" s="140"/>
      <c r="C178" s="141"/>
      <c r="D178" s="142"/>
      <c r="E178" s="143"/>
      <c r="F178" s="144"/>
      <c r="G178" s="1"/>
      <c r="H178" s="131" t="str">
        <f t="shared" si="4"/>
        <v/>
      </c>
      <c r="I178" s="132" t="str">
        <f>IF(L178&gt;0,NbEch+Différé+1-H178,"")</f>
        <v/>
      </c>
      <c r="J178" s="145" t="str">
        <f t="shared" si="2"/>
        <v/>
      </c>
      <c r="K178" s="146" t="str">
        <f>IF(L178=0,"",IF(Ijour=0,MIN(DATE(YEAR(DebAmort),MONTH(DebAmort)+MoisD+(H178-1)*Imois,Jour2),DATE(YEAR(DebAmort),MONTH(DebAmort)+MoisD+1+(H178-1)*Imois,0)),DATE(YEAR(DebAmort),MONTH(DebAmort),Jour1+(H178-1)*Ijour)))</f>
        <v/>
      </c>
      <c r="L178" s="147">
        <f t="shared" si="5"/>
        <v>0</v>
      </c>
      <c r="M178" s="135">
        <f>IF(H178&lt;=NoEchMaxi,ROUND(L178*R178,NbDeci),0)</f>
        <v>0</v>
      </c>
      <c r="N178" s="134">
        <f>IF(OR(H178&lt;=Différé,H178&gt;NoEchMaxi),IF(DiffTotal,-M178,0),IF(H178&gt;=NoEchRemb,L178,IF(S178-(M178*EchFIXE)&gt;L178-2,L178,S178-(M178*EchFIXE))))+C178</f>
        <v>0</v>
      </c>
      <c r="O178" s="136">
        <f>IF(OR(L178=0,H178&gt;NoEchMaxi),0,ROUND(FraisF+FraisV*L178,NbDeci))+F178</f>
        <v>0</v>
      </c>
      <c r="P178" s="148">
        <f t="shared" si="3"/>
        <v>0</v>
      </c>
      <c r="Q178" s="1"/>
      <c r="R178" s="138">
        <f>IF(B178&gt;0,IF(TauxActuariel,((B178+1)^(1/NbEchAn))-1,B178/NbEchAn),R177)</f>
        <v>0.04</v>
      </c>
      <c r="S178" s="139">
        <f>IF(E178&gt;0,E178,IF(D178&gt;0,IF(AND(EchFIXE,R178&gt;0),ROUND((L178-C178)*R178/(1-((1+R178)^-D178)),NbDeci),ROUND(L178/D178,NbDeci)),S177))</f>
        <v>6664</v>
      </c>
      <c r="T178" s="1"/>
      <c r="U178" s="1"/>
      <c r="V178" s="1"/>
      <c r="W178" s="1"/>
      <c r="X178" s="1"/>
      <c r="Y178" s="1"/>
      <c r="Z178" s="1"/>
      <c r="AA178" s="1"/>
    </row>
    <row r="179" ht="12.75" customHeight="1">
      <c r="A179" s="1"/>
      <c r="B179" s="140"/>
      <c r="C179" s="141"/>
      <c r="D179" s="142"/>
      <c r="E179" s="143"/>
      <c r="F179" s="144"/>
      <c r="G179" s="1"/>
      <c r="H179" s="131" t="str">
        <f t="shared" si="4"/>
        <v/>
      </c>
      <c r="I179" s="132" t="str">
        <f>IF(L179&gt;0,NbEch+Différé+1-H179,"")</f>
        <v/>
      </c>
      <c r="J179" s="145" t="str">
        <f t="shared" si="2"/>
        <v/>
      </c>
      <c r="K179" s="146" t="str">
        <f>IF(L179=0,"",IF(Ijour=0,MIN(DATE(YEAR(DebAmort),MONTH(DebAmort)+(H179-1)*Imois,Jour1),DATE(YEAR(DebAmort),MONTH(DebAmort)+1+(H179-1)*Imois,0)),DATE(YEAR(DebAmort),MONTH(DebAmort),Jour1+(H179-1)*Ijour)))</f>
        <v/>
      </c>
      <c r="L179" s="147">
        <f t="shared" si="5"/>
        <v>0</v>
      </c>
      <c r="M179" s="135">
        <f>IF(H179&lt;=NoEchMaxi,ROUND(L179*R179,NbDeci),0)</f>
        <v>0</v>
      </c>
      <c r="N179" s="134">
        <f>IF(OR(H179&lt;=Différé,H179&gt;NoEchMaxi),IF(DiffTotal,-M179,0),IF(H179&gt;=NoEchRemb,L179,IF(S179-(M179*EchFIXE)&gt;L179-2,L179,S179-(M179*EchFIXE))))+C179</f>
        <v>0</v>
      </c>
      <c r="O179" s="136">
        <f>IF(OR(L179=0,H179&gt;NoEchMaxi),0,ROUND(FraisF+FraisV*L179,NbDeci))+F179</f>
        <v>0</v>
      </c>
      <c r="P179" s="148">
        <f t="shared" si="3"/>
        <v>0</v>
      </c>
      <c r="Q179" s="1"/>
      <c r="R179" s="138">
        <f>IF(B179&gt;0,IF(TauxActuariel,((B179+1)^(1/NbEchAn))-1,B179/NbEchAn),R178)</f>
        <v>0.04</v>
      </c>
      <c r="S179" s="139">
        <f>IF(E179&gt;0,E179,IF(D179&gt;0,IF(AND(EchFIXE,R179&gt;0),ROUND((L179-C179)*R179/(1-((1+R179)^-D179)),NbDeci),ROUND(L179/D179,NbDeci)),S178))</f>
        <v>6664</v>
      </c>
      <c r="T179" s="1"/>
      <c r="U179" s="1"/>
      <c r="V179" s="1"/>
      <c r="W179" s="1"/>
      <c r="X179" s="1"/>
      <c r="Y179" s="1"/>
      <c r="Z179" s="1"/>
      <c r="AA179" s="1"/>
    </row>
    <row r="180" ht="12.75" customHeight="1">
      <c r="A180" s="1"/>
      <c r="B180" s="140"/>
      <c r="C180" s="141"/>
      <c r="D180" s="142"/>
      <c r="E180" s="143"/>
      <c r="F180" s="144"/>
      <c r="G180" s="1"/>
      <c r="H180" s="131" t="str">
        <f t="shared" si="4"/>
        <v/>
      </c>
      <c r="I180" s="132" t="str">
        <f>IF(L180&gt;0,NbEch+Différé+1-H180,"")</f>
        <v/>
      </c>
      <c r="J180" s="145" t="str">
        <f t="shared" si="2"/>
        <v/>
      </c>
      <c r="K180" s="146" t="str">
        <f>IF(L180=0,"",IF(Ijour=0,MIN(DATE(YEAR(DebAmort),MONTH(DebAmort)+MoisD+(H180-1)*Imois,Jour2),DATE(YEAR(DebAmort),MONTH(DebAmort)+MoisD+1+(H180-1)*Imois,0)),DATE(YEAR(DebAmort),MONTH(DebAmort),Jour1+(H180-1)*Ijour)))</f>
        <v/>
      </c>
      <c r="L180" s="147">
        <f t="shared" si="5"/>
        <v>0</v>
      </c>
      <c r="M180" s="135">
        <f>IF(H180&lt;=NoEchMaxi,ROUND(L180*R180,NbDeci),0)</f>
        <v>0</v>
      </c>
      <c r="N180" s="134">
        <f>IF(OR(H180&lt;=Différé,H180&gt;NoEchMaxi),IF(DiffTotal,-M180,0),IF(H180&gt;=NoEchRemb,L180,IF(S180-(M180*EchFIXE)&gt;L180-2,L180,S180-(M180*EchFIXE))))+C180</f>
        <v>0</v>
      </c>
      <c r="O180" s="136">
        <f>IF(OR(L180=0,H180&gt;NoEchMaxi),0,ROUND(FraisF+FraisV*L180,NbDeci))+F180</f>
        <v>0</v>
      </c>
      <c r="P180" s="148">
        <f t="shared" si="3"/>
        <v>0</v>
      </c>
      <c r="Q180" s="1"/>
      <c r="R180" s="138">
        <f>IF(B180&gt;0,IF(TauxActuariel,((B180+1)^(1/NbEchAn))-1,B180/NbEchAn),R179)</f>
        <v>0.04</v>
      </c>
      <c r="S180" s="139">
        <f>IF(E180&gt;0,E180,IF(D180&gt;0,IF(AND(EchFIXE,R180&gt;0),ROUND((L180-C180)*R180/(1-((1+R180)^-D180)),NbDeci),ROUND(L180/D180,NbDeci)),S179))</f>
        <v>6664</v>
      </c>
      <c r="T180" s="1"/>
      <c r="U180" s="1"/>
      <c r="V180" s="1"/>
      <c r="W180" s="1"/>
      <c r="X180" s="1"/>
      <c r="Y180" s="1"/>
      <c r="Z180" s="1"/>
      <c r="AA180" s="1"/>
    </row>
    <row r="181" ht="12.75" customHeight="1">
      <c r="A181" s="1"/>
      <c r="B181" s="140"/>
      <c r="C181" s="141"/>
      <c r="D181" s="142"/>
      <c r="E181" s="143"/>
      <c r="F181" s="144"/>
      <c r="G181" s="1"/>
      <c r="H181" s="131" t="str">
        <f t="shared" si="4"/>
        <v/>
      </c>
      <c r="I181" s="132" t="str">
        <f>IF(L181&gt;0,NbEch+Différé+1-H181,"")</f>
        <v/>
      </c>
      <c r="J181" s="145" t="str">
        <f t="shared" si="2"/>
        <v/>
      </c>
      <c r="K181" s="146" t="str">
        <f>IF(L181=0,"",IF(Ijour=0,MIN(DATE(YEAR(DebAmort),MONTH(DebAmort)+(H181-1)*Imois,Jour1),DATE(YEAR(DebAmort),MONTH(DebAmort)+1+(H181-1)*Imois,0)),DATE(YEAR(DebAmort),MONTH(DebAmort),Jour1+(H181-1)*Ijour)))</f>
        <v/>
      </c>
      <c r="L181" s="147">
        <f t="shared" si="5"/>
        <v>0</v>
      </c>
      <c r="M181" s="135">
        <f>IF(H181&lt;=NoEchMaxi,ROUND(L181*R181,NbDeci),0)</f>
        <v>0</v>
      </c>
      <c r="N181" s="134">
        <f>IF(OR(H181&lt;=Différé,H181&gt;NoEchMaxi),IF(DiffTotal,-M181,0),IF(H181&gt;=NoEchRemb,L181,IF(S181-(M181*EchFIXE)&gt;L181-2,L181,S181-(M181*EchFIXE))))+C181</f>
        <v>0</v>
      </c>
      <c r="O181" s="136">
        <f>IF(OR(L181=0,H181&gt;NoEchMaxi),0,ROUND(FraisF+FraisV*L181,NbDeci))+F181</f>
        <v>0</v>
      </c>
      <c r="P181" s="148">
        <f t="shared" si="3"/>
        <v>0</v>
      </c>
      <c r="Q181" s="1"/>
      <c r="R181" s="138">
        <f>IF(B181&gt;0,IF(TauxActuariel,((B181+1)^(1/NbEchAn))-1,B181/NbEchAn),R180)</f>
        <v>0.04</v>
      </c>
      <c r="S181" s="139">
        <f>IF(E181&gt;0,E181,IF(D181&gt;0,IF(AND(EchFIXE,R181&gt;0),ROUND((L181-C181)*R181/(1-((1+R181)^-D181)),NbDeci),ROUND(L181/D181,NbDeci)),S180))</f>
        <v>6664</v>
      </c>
      <c r="T181" s="1"/>
      <c r="U181" s="1"/>
      <c r="V181" s="1"/>
      <c r="W181" s="1"/>
      <c r="X181" s="1"/>
      <c r="Y181" s="1"/>
      <c r="Z181" s="1"/>
      <c r="AA181" s="1"/>
    </row>
    <row r="182" ht="12.75" customHeight="1">
      <c r="A182" s="1"/>
      <c r="B182" s="140"/>
      <c r="C182" s="141"/>
      <c r="D182" s="142"/>
      <c r="E182" s="143"/>
      <c r="F182" s="144"/>
      <c r="G182" s="1"/>
      <c r="H182" s="131" t="str">
        <f t="shared" si="4"/>
        <v/>
      </c>
      <c r="I182" s="132" t="str">
        <f>IF(L182&gt;0,NbEch+Différé+1-H182,"")</f>
        <v/>
      </c>
      <c r="J182" s="145" t="str">
        <f t="shared" si="2"/>
        <v/>
      </c>
      <c r="K182" s="146" t="str">
        <f>IF(L182=0,"",IF(Ijour=0,MIN(DATE(YEAR(DebAmort),MONTH(DebAmort)+MoisD+(H182-1)*Imois,Jour2),DATE(YEAR(DebAmort),MONTH(DebAmort)+MoisD+1+(H182-1)*Imois,0)),DATE(YEAR(DebAmort),MONTH(DebAmort),Jour1+(H182-1)*Ijour)))</f>
        <v/>
      </c>
      <c r="L182" s="147">
        <f t="shared" si="5"/>
        <v>0</v>
      </c>
      <c r="M182" s="135">
        <f>IF(H182&lt;=NoEchMaxi,ROUND(L182*R182,NbDeci),0)</f>
        <v>0</v>
      </c>
      <c r="N182" s="134">
        <f>IF(OR(H182&lt;=Différé,H182&gt;NoEchMaxi),IF(DiffTotal,-M182,0),IF(H182&gt;=NoEchRemb,L182,IF(S182-(M182*EchFIXE)&gt;L182-2,L182,S182-(M182*EchFIXE))))+C182</f>
        <v>0</v>
      </c>
      <c r="O182" s="136">
        <f>IF(OR(L182=0,H182&gt;NoEchMaxi),0,ROUND(FraisF+FraisV*L182,NbDeci))+F182</f>
        <v>0</v>
      </c>
      <c r="P182" s="148">
        <f t="shared" si="3"/>
        <v>0</v>
      </c>
      <c r="Q182" s="1"/>
      <c r="R182" s="138">
        <f>IF(B182&gt;0,IF(TauxActuariel,((B182+1)^(1/NbEchAn))-1,B182/NbEchAn),R181)</f>
        <v>0.04</v>
      </c>
      <c r="S182" s="139">
        <f>IF(E182&gt;0,E182,IF(D182&gt;0,IF(AND(EchFIXE,R182&gt;0),ROUND((L182-C182)*R182/(1-((1+R182)^-D182)),NbDeci),ROUND(L182/D182,NbDeci)),S181))</f>
        <v>6664</v>
      </c>
      <c r="T182" s="1"/>
      <c r="U182" s="1"/>
      <c r="V182" s="1"/>
      <c r="W182" s="1"/>
      <c r="X182" s="1"/>
      <c r="Y182" s="1"/>
      <c r="Z182" s="1"/>
      <c r="AA182" s="1"/>
    </row>
    <row r="183" ht="12.75" customHeight="1">
      <c r="A183" s="1"/>
      <c r="B183" s="140"/>
      <c r="C183" s="141"/>
      <c r="D183" s="142"/>
      <c r="E183" s="143"/>
      <c r="F183" s="144"/>
      <c r="G183" s="1"/>
      <c r="H183" s="131" t="str">
        <f t="shared" si="4"/>
        <v/>
      </c>
      <c r="I183" s="132" t="str">
        <f>IF(L183&gt;0,NbEch+Différé+1-H183,"")</f>
        <v/>
      </c>
      <c r="J183" s="145" t="str">
        <f t="shared" si="2"/>
        <v/>
      </c>
      <c r="K183" s="146" t="str">
        <f>IF(L183=0,"",IF(Ijour=0,MIN(DATE(YEAR(DebAmort),MONTH(DebAmort)+(H183-1)*Imois,Jour1),DATE(YEAR(DebAmort),MONTH(DebAmort)+1+(H183-1)*Imois,0)),DATE(YEAR(DebAmort),MONTH(DebAmort),Jour1+(H183-1)*Ijour)))</f>
        <v/>
      </c>
      <c r="L183" s="147">
        <f t="shared" si="5"/>
        <v>0</v>
      </c>
      <c r="M183" s="135">
        <f>IF(H183&lt;=NoEchMaxi,ROUND(L183*R183,NbDeci),0)</f>
        <v>0</v>
      </c>
      <c r="N183" s="134">
        <f>IF(OR(H183&lt;=Différé,H183&gt;NoEchMaxi),IF(DiffTotal,-M183,0),IF(H183&gt;=NoEchRemb,L183,IF(S183-(M183*EchFIXE)&gt;L183-2,L183,S183-(M183*EchFIXE))))+C183</f>
        <v>0</v>
      </c>
      <c r="O183" s="136">
        <f>IF(OR(L183=0,H183&gt;NoEchMaxi),0,ROUND(FraisF+FraisV*L183,NbDeci))+F183</f>
        <v>0</v>
      </c>
      <c r="P183" s="148">
        <f t="shared" si="3"/>
        <v>0</v>
      </c>
      <c r="Q183" s="1"/>
      <c r="R183" s="138">
        <f>IF(B183&gt;0,IF(TauxActuariel,((B183+1)^(1/NbEchAn))-1,B183/NbEchAn),R182)</f>
        <v>0.04</v>
      </c>
      <c r="S183" s="139">
        <f>IF(E183&gt;0,E183,IF(D183&gt;0,IF(AND(EchFIXE,R183&gt;0),ROUND((L183-C183)*R183/(1-((1+R183)^-D183)),NbDeci),ROUND(L183/D183,NbDeci)),S182))</f>
        <v>6664</v>
      </c>
      <c r="T183" s="1"/>
      <c r="U183" s="1"/>
      <c r="V183" s="1"/>
      <c r="W183" s="1"/>
      <c r="X183" s="1"/>
      <c r="Y183" s="1"/>
      <c r="Z183" s="1"/>
      <c r="AA183" s="1"/>
    </row>
    <row r="184" ht="12.75" customHeight="1">
      <c r="A184" s="1"/>
      <c r="B184" s="140"/>
      <c r="C184" s="141"/>
      <c r="D184" s="142"/>
      <c r="E184" s="143"/>
      <c r="F184" s="144"/>
      <c r="G184" s="1"/>
      <c r="H184" s="131" t="str">
        <f t="shared" si="4"/>
        <v/>
      </c>
      <c r="I184" s="132" t="str">
        <f>IF(L184&gt;0,NbEch+Différé+1-H184,"")</f>
        <v/>
      </c>
      <c r="J184" s="145" t="str">
        <f t="shared" si="2"/>
        <v/>
      </c>
      <c r="K184" s="146" t="str">
        <f>IF(L184=0,"",IF(Ijour=0,MIN(DATE(YEAR(DebAmort),MONTH(DebAmort)+MoisD+(H184-1)*Imois,Jour2),DATE(YEAR(DebAmort),MONTH(DebAmort)+MoisD+1+(H184-1)*Imois,0)),DATE(YEAR(DebAmort),MONTH(DebAmort),Jour1+(H184-1)*Ijour)))</f>
        <v/>
      </c>
      <c r="L184" s="147">
        <f t="shared" si="5"/>
        <v>0</v>
      </c>
      <c r="M184" s="135">
        <f>IF(H184&lt;=NoEchMaxi,ROUND(L184*R184,NbDeci),0)</f>
        <v>0</v>
      </c>
      <c r="N184" s="134">
        <f>IF(OR(H184&lt;=Différé,H184&gt;NoEchMaxi),IF(DiffTotal,-M184,0),IF(H184&gt;=NoEchRemb,L184,IF(S184-(M184*EchFIXE)&gt;L184-2,L184,S184-(M184*EchFIXE))))+C184</f>
        <v>0</v>
      </c>
      <c r="O184" s="136">
        <f>IF(OR(L184=0,H184&gt;NoEchMaxi),0,ROUND(FraisF+FraisV*L184,NbDeci))+F184</f>
        <v>0</v>
      </c>
      <c r="P184" s="148">
        <f t="shared" si="3"/>
        <v>0</v>
      </c>
      <c r="Q184" s="1"/>
      <c r="R184" s="138">
        <f>IF(B184&gt;0,IF(TauxActuariel,((B184+1)^(1/NbEchAn))-1,B184/NbEchAn),R183)</f>
        <v>0.04</v>
      </c>
      <c r="S184" s="139">
        <f>IF(E184&gt;0,E184,IF(D184&gt;0,IF(AND(EchFIXE,R184&gt;0),ROUND((L184-C184)*R184/(1-((1+R184)^-D184)),NbDeci),ROUND(L184/D184,NbDeci)),S183))</f>
        <v>6664</v>
      </c>
      <c r="T184" s="1"/>
      <c r="U184" s="1"/>
      <c r="V184" s="1"/>
      <c r="W184" s="1"/>
      <c r="X184" s="1"/>
      <c r="Y184" s="1"/>
      <c r="Z184" s="1"/>
      <c r="AA184" s="1"/>
    </row>
    <row r="185" ht="12.75" customHeight="1">
      <c r="A185" s="1"/>
      <c r="B185" s="140"/>
      <c r="C185" s="141"/>
      <c r="D185" s="142"/>
      <c r="E185" s="143"/>
      <c r="F185" s="144"/>
      <c r="G185" s="1"/>
      <c r="H185" s="131" t="str">
        <f t="shared" si="4"/>
        <v/>
      </c>
      <c r="I185" s="132" t="str">
        <f>IF(L185&gt;0,NbEch+Différé+1-H185,"")</f>
        <v/>
      </c>
      <c r="J185" s="145" t="str">
        <f t="shared" si="2"/>
        <v/>
      </c>
      <c r="K185" s="146" t="str">
        <f>IF(L185=0,"",IF(Ijour=0,MIN(DATE(YEAR(DebAmort),MONTH(DebAmort)+(H185-1)*Imois,Jour1),DATE(YEAR(DebAmort),MONTH(DebAmort)+1+(H185-1)*Imois,0)),DATE(YEAR(DebAmort),MONTH(DebAmort),Jour1+(H185-1)*Ijour)))</f>
        <v/>
      </c>
      <c r="L185" s="147">
        <f t="shared" si="5"/>
        <v>0</v>
      </c>
      <c r="M185" s="135">
        <f>IF(H185&lt;=NoEchMaxi,ROUND(L185*R185,NbDeci),0)</f>
        <v>0</v>
      </c>
      <c r="N185" s="134">
        <f>IF(OR(H185&lt;=Différé,H185&gt;NoEchMaxi),IF(DiffTotal,-M185,0),IF(H185&gt;=NoEchRemb,L185,IF(S185-(M185*EchFIXE)&gt;L185-2,L185,S185-(M185*EchFIXE))))+C185</f>
        <v>0</v>
      </c>
      <c r="O185" s="136">
        <f>IF(OR(L185=0,H185&gt;NoEchMaxi),0,ROUND(FraisF+FraisV*L185,NbDeci))+F185</f>
        <v>0</v>
      </c>
      <c r="P185" s="148">
        <f t="shared" si="3"/>
        <v>0</v>
      </c>
      <c r="Q185" s="1"/>
      <c r="R185" s="138">
        <f>IF(B185&gt;0,IF(TauxActuariel,((B185+1)^(1/NbEchAn))-1,B185/NbEchAn),R184)</f>
        <v>0.04</v>
      </c>
      <c r="S185" s="139">
        <f>IF(E185&gt;0,E185,IF(D185&gt;0,IF(AND(EchFIXE,R185&gt;0),ROUND((L185-C185)*R185/(1-((1+R185)^-D185)),NbDeci),ROUND(L185/D185,NbDeci)),S184))</f>
        <v>6664</v>
      </c>
      <c r="T185" s="1"/>
      <c r="U185" s="1"/>
      <c r="V185" s="1"/>
      <c r="W185" s="1"/>
      <c r="X185" s="1"/>
      <c r="Y185" s="1"/>
      <c r="Z185" s="1"/>
      <c r="AA185" s="1"/>
    </row>
    <row r="186" ht="12.75" customHeight="1">
      <c r="A186" s="1"/>
      <c r="B186" s="140"/>
      <c r="C186" s="141"/>
      <c r="D186" s="142"/>
      <c r="E186" s="143"/>
      <c r="F186" s="144"/>
      <c r="G186" s="1"/>
      <c r="H186" s="131" t="str">
        <f t="shared" si="4"/>
        <v/>
      </c>
      <c r="I186" s="132" t="str">
        <f>IF(L186&gt;0,NbEch+Différé+1-H186,"")</f>
        <v/>
      </c>
      <c r="J186" s="145" t="str">
        <f t="shared" si="2"/>
        <v/>
      </c>
      <c r="K186" s="146" t="str">
        <f>IF(L186=0,"",IF(Ijour=0,MIN(DATE(YEAR(DebAmort),MONTH(DebAmort)+MoisD+(H186-1)*Imois,Jour2),DATE(YEAR(DebAmort),MONTH(DebAmort)+MoisD+1+(H186-1)*Imois,0)),DATE(YEAR(DebAmort),MONTH(DebAmort),Jour1+(H186-1)*Ijour)))</f>
        <v/>
      </c>
      <c r="L186" s="147">
        <f t="shared" si="5"/>
        <v>0</v>
      </c>
      <c r="M186" s="135">
        <f>IF(H186&lt;=NoEchMaxi,ROUND(L186*R186,NbDeci),0)</f>
        <v>0</v>
      </c>
      <c r="N186" s="134">
        <f>IF(OR(H186&lt;=Différé,H186&gt;NoEchMaxi),IF(DiffTotal,-M186,0),IF(H186&gt;=NoEchRemb,L186,IF(S186-(M186*EchFIXE)&gt;L186-2,L186,S186-(M186*EchFIXE))))+C186</f>
        <v>0</v>
      </c>
      <c r="O186" s="136">
        <f>IF(OR(L186=0,H186&gt;NoEchMaxi),0,ROUND(FraisF+FraisV*L186,NbDeci))+F186</f>
        <v>0</v>
      </c>
      <c r="P186" s="148">
        <f t="shared" si="3"/>
        <v>0</v>
      </c>
      <c r="Q186" s="1"/>
      <c r="R186" s="138">
        <f>IF(B186&gt;0,IF(TauxActuariel,((B186+1)^(1/NbEchAn))-1,B186/NbEchAn),R185)</f>
        <v>0.04</v>
      </c>
      <c r="S186" s="139">
        <f>IF(E186&gt;0,E186,IF(D186&gt;0,IF(AND(EchFIXE,R186&gt;0),ROUND((L186-C186)*R186/(1-((1+R186)^-D186)),NbDeci),ROUND(L186/D186,NbDeci)),S185))</f>
        <v>6664</v>
      </c>
      <c r="T186" s="1"/>
      <c r="U186" s="1"/>
      <c r="V186" s="1"/>
      <c r="W186" s="1"/>
      <c r="X186" s="1"/>
      <c r="Y186" s="1"/>
      <c r="Z186" s="1"/>
      <c r="AA186" s="1"/>
    </row>
    <row r="187" ht="12.75" customHeight="1">
      <c r="A187" s="1"/>
      <c r="B187" s="140"/>
      <c r="C187" s="141"/>
      <c r="D187" s="142"/>
      <c r="E187" s="143"/>
      <c r="F187" s="144"/>
      <c r="G187" s="1"/>
      <c r="H187" s="131" t="str">
        <f t="shared" si="4"/>
        <v/>
      </c>
      <c r="I187" s="132" t="str">
        <f>IF(L187&gt;0,NbEch+Différé+1-H187,"")</f>
        <v/>
      </c>
      <c r="J187" s="145" t="str">
        <f t="shared" si="2"/>
        <v/>
      </c>
      <c r="K187" s="146" t="str">
        <f>IF(L187=0,"",IF(Ijour=0,MIN(DATE(YEAR(DebAmort),MONTH(DebAmort)+(H187-1)*Imois,Jour1),DATE(YEAR(DebAmort),MONTH(DebAmort)+1+(H187-1)*Imois,0)),DATE(YEAR(DebAmort),MONTH(DebAmort),Jour1+(H187-1)*Ijour)))</f>
        <v/>
      </c>
      <c r="L187" s="147">
        <f t="shared" si="5"/>
        <v>0</v>
      </c>
      <c r="M187" s="135">
        <f>IF(H187&lt;=NoEchMaxi,ROUND(L187*R187,NbDeci),0)</f>
        <v>0</v>
      </c>
      <c r="N187" s="134">
        <f>IF(OR(H187&lt;=Différé,H187&gt;NoEchMaxi),IF(DiffTotal,-M187,0),IF(H187&gt;=NoEchRemb,L187,IF(S187-(M187*EchFIXE)&gt;L187-2,L187,S187-(M187*EchFIXE))))+C187</f>
        <v>0</v>
      </c>
      <c r="O187" s="136">
        <f>IF(OR(L187=0,H187&gt;NoEchMaxi),0,ROUND(FraisF+FraisV*L187,NbDeci))+F187</f>
        <v>0</v>
      </c>
      <c r="P187" s="148">
        <f t="shared" si="3"/>
        <v>0</v>
      </c>
      <c r="Q187" s="1"/>
      <c r="R187" s="138">
        <f>IF(B187&gt;0,IF(TauxActuariel,((B187+1)^(1/NbEchAn))-1,B187/NbEchAn),R186)</f>
        <v>0.04</v>
      </c>
      <c r="S187" s="139">
        <f>IF(E187&gt;0,E187,IF(D187&gt;0,IF(AND(EchFIXE,R187&gt;0),ROUND((L187-C187)*R187/(1-((1+R187)^-D187)),NbDeci),ROUND(L187/D187,NbDeci)),S186))</f>
        <v>6664</v>
      </c>
      <c r="T187" s="1"/>
      <c r="U187" s="1"/>
      <c r="V187" s="1"/>
      <c r="W187" s="1"/>
      <c r="X187" s="1"/>
      <c r="Y187" s="1"/>
      <c r="Z187" s="1"/>
      <c r="AA187" s="1"/>
    </row>
    <row r="188" ht="12.75" customHeight="1">
      <c r="A188" s="1"/>
      <c r="B188" s="140"/>
      <c r="C188" s="141"/>
      <c r="D188" s="142"/>
      <c r="E188" s="143"/>
      <c r="F188" s="144"/>
      <c r="G188" s="1"/>
      <c r="H188" s="131" t="str">
        <f t="shared" si="4"/>
        <v/>
      </c>
      <c r="I188" s="132" t="str">
        <f>IF(L188&gt;0,NbEch+Différé+1-H188,"")</f>
        <v/>
      </c>
      <c r="J188" s="145" t="str">
        <f t="shared" si="2"/>
        <v/>
      </c>
      <c r="K188" s="146" t="str">
        <f>IF(L188=0,"",IF(Ijour=0,MIN(DATE(YEAR(DebAmort),MONTH(DebAmort)+MoisD+(H188-1)*Imois,Jour2),DATE(YEAR(DebAmort),MONTH(DebAmort)+MoisD+1+(H188-1)*Imois,0)),DATE(YEAR(DebAmort),MONTH(DebAmort),Jour1+(H188-1)*Ijour)))</f>
        <v/>
      </c>
      <c r="L188" s="147">
        <f t="shared" si="5"/>
        <v>0</v>
      </c>
      <c r="M188" s="135">
        <f>IF(H188&lt;=NoEchMaxi,ROUND(L188*R188,NbDeci),0)</f>
        <v>0</v>
      </c>
      <c r="N188" s="134">
        <f>IF(OR(H188&lt;=Différé,H188&gt;NoEchMaxi),IF(DiffTotal,-M188,0),IF(H188&gt;=NoEchRemb,L188,IF(S188-(M188*EchFIXE)&gt;L188-2,L188,S188-(M188*EchFIXE))))+C188</f>
        <v>0</v>
      </c>
      <c r="O188" s="136">
        <f>IF(OR(L188=0,H188&gt;NoEchMaxi),0,ROUND(FraisF+FraisV*L188,NbDeci))+F188</f>
        <v>0</v>
      </c>
      <c r="P188" s="148">
        <f t="shared" si="3"/>
        <v>0</v>
      </c>
      <c r="Q188" s="1"/>
      <c r="R188" s="138">
        <f>IF(B188&gt;0,IF(TauxActuariel,((B188+1)^(1/NbEchAn))-1,B188/NbEchAn),R187)</f>
        <v>0.04</v>
      </c>
      <c r="S188" s="139">
        <f>IF(E188&gt;0,E188,IF(D188&gt;0,IF(AND(EchFIXE,R188&gt;0),ROUND((L188-C188)*R188/(1-((1+R188)^-D188)),NbDeci),ROUND(L188/D188,NbDeci)),S187))</f>
        <v>6664</v>
      </c>
      <c r="T188" s="1"/>
      <c r="U188" s="1"/>
      <c r="V188" s="1"/>
      <c r="W188" s="1"/>
      <c r="X188" s="1"/>
      <c r="Y188" s="1"/>
      <c r="Z188" s="1"/>
      <c r="AA188" s="1"/>
    </row>
    <row r="189" ht="12.75" customHeight="1">
      <c r="A189" s="1"/>
      <c r="B189" s="140"/>
      <c r="C189" s="141"/>
      <c r="D189" s="142"/>
      <c r="E189" s="143"/>
      <c r="F189" s="144"/>
      <c r="G189" s="1"/>
      <c r="H189" s="131" t="str">
        <f t="shared" si="4"/>
        <v/>
      </c>
      <c r="I189" s="132" t="str">
        <f>IF(L189&gt;0,NbEch+Différé+1-H189,"")</f>
        <v/>
      </c>
      <c r="J189" s="145" t="str">
        <f t="shared" si="2"/>
        <v/>
      </c>
      <c r="K189" s="146" t="str">
        <f>IF(L189=0,"",IF(Ijour=0,MIN(DATE(YEAR(DebAmort),MONTH(DebAmort)+(H189-1)*Imois,Jour1),DATE(YEAR(DebAmort),MONTH(DebAmort)+1+(H189-1)*Imois,0)),DATE(YEAR(DebAmort),MONTH(DebAmort),Jour1+(H189-1)*Ijour)))</f>
        <v/>
      </c>
      <c r="L189" s="147">
        <f t="shared" si="5"/>
        <v>0</v>
      </c>
      <c r="M189" s="135">
        <f>IF(H189&lt;=NoEchMaxi,ROUND(L189*R189,NbDeci),0)</f>
        <v>0</v>
      </c>
      <c r="N189" s="134">
        <f>IF(OR(H189&lt;=Différé,H189&gt;NoEchMaxi),IF(DiffTotal,-M189,0),IF(H189&gt;=NoEchRemb,L189,IF(S189-(M189*EchFIXE)&gt;L189-2,L189,S189-(M189*EchFIXE))))+C189</f>
        <v>0</v>
      </c>
      <c r="O189" s="136">
        <f>IF(OR(L189=0,H189&gt;NoEchMaxi),0,ROUND(FraisF+FraisV*L189,NbDeci))+F189</f>
        <v>0</v>
      </c>
      <c r="P189" s="148">
        <f t="shared" si="3"/>
        <v>0</v>
      </c>
      <c r="Q189" s="1"/>
      <c r="R189" s="138">
        <f>IF(B189&gt;0,IF(TauxActuariel,((B189+1)^(1/NbEchAn))-1,B189/NbEchAn),R188)</f>
        <v>0.04</v>
      </c>
      <c r="S189" s="139">
        <f>IF(E189&gt;0,E189,IF(D189&gt;0,IF(AND(EchFIXE,R189&gt;0),ROUND((L189-C189)*R189/(1-((1+R189)^-D189)),NbDeci),ROUND(L189/D189,NbDeci)),S188))</f>
        <v>6664</v>
      </c>
      <c r="T189" s="1"/>
      <c r="U189" s="1"/>
      <c r="V189" s="1"/>
      <c r="W189" s="1"/>
      <c r="X189" s="1"/>
      <c r="Y189" s="1"/>
      <c r="Z189" s="1"/>
      <c r="AA189" s="1"/>
    </row>
    <row r="190" ht="12.75" customHeight="1">
      <c r="A190" s="1"/>
      <c r="B190" s="140"/>
      <c r="C190" s="141"/>
      <c r="D190" s="142"/>
      <c r="E190" s="143"/>
      <c r="F190" s="144"/>
      <c r="G190" s="1"/>
      <c r="H190" s="131" t="str">
        <f t="shared" si="4"/>
        <v/>
      </c>
      <c r="I190" s="132" t="str">
        <f>IF(L190&gt;0,NbEch+Différé+1-H190,"")</f>
        <v/>
      </c>
      <c r="J190" s="145" t="str">
        <f t="shared" si="2"/>
        <v/>
      </c>
      <c r="K190" s="146" t="str">
        <f>IF(L190=0,"",IF(Ijour=0,MIN(DATE(YEAR(DebAmort),MONTH(DebAmort)+MoisD+(H190-1)*Imois,Jour2),DATE(YEAR(DebAmort),MONTH(DebAmort)+MoisD+1+(H190-1)*Imois,0)),DATE(YEAR(DebAmort),MONTH(DebAmort),Jour1+(H190-1)*Ijour)))</f>
        <v/>
      </c>
      <c r="L190" s="147">
        <f t="shared" si="5"/>
        <v>0</v>
      </c>
      <c r="M190" s="135">
        <f>IF(H190&lt;=NoEchMaxi,ROUND(L190*R190,NbDeci),0)</f>
        <v>0</v>
      </c>
      <c r="N190" s="134">
        <f>IF(OR(H190&lt;=Différé,H190&gt;NoEchMaxi),IF(DiffTotal,-M190,0),IF(H190&gt;=NoEchRemb,L190,IF(S190-(M190*EchFIXE)&gt;L190-2,L190,S190-(M190*EchFIXE))))+C190</f>
        <v>0</v>
      </c>
      <c r="O190" s="136">
        <f>IF(OR(L190=0,H190&gt;NoEchMaxi),0,ROUND(FraisF+FraisV*L190,NbDeci))+F190</f>
        <v>0</v>
      </c>
      <c r="P190" s="148">
        <f t="shared" si="3"/>
        <v>0</v>
      </c>
      <c r="Q190" s="1"/>
      <c r="R190" s="138">
        <f>IF(B190&gt;0,IF(TauxActuariel,((B190+1)^(1/NbEchAn))-1,B190/NbEchAn),R189)</f>
        <v>0.04</v>
      </c>
      <c r="S190" s="139">
        <f>IF(E190&gt;0,E190,IF(D190&gt;0,IF(AND(EchFIXE,R190&gt;0),ROUND((L190-C190)*R190/(1-((1+R190)^-D190)),NbDeci),ROUND(L190/D190,NbDeci)),S189))</f>
        <v>6664</v>
      </c>
      <c r="T190" s="1"/>
      <c r="U190" s="1"/>
      <c r="V190" s="1"/>
      <c r="W190" s="1"/>
      <c r="X190" s="1"/>
      <c r="Y190" s="1"/>
      <c r="Z190" s="1"/>
      <c r="AA190" s="1"/>
    </row>
    <row r="191" ht="12.75" customHeight="1">
      <c r="A191" s="1"/>
      <c r="B191" s="140"/>
      <c r="C191" s="141"/>
      <c r="D191" s="142"/>
      <c r="E191" s="143"/>
      <c r="F191" s="144"/>
      <c r="G191" s="1"/>
      <c r="H191" s="131" t="str">
        <f t="shared" si="4"/>
        <v/>
      </c>
      <c r="I191" s="132" t="str">
        <f>IF(L191&gt;0,NbEch+Différé+1-H191,"")</f>
        <v/>
      </c>
      <c r="J191" s="145" t="str">
        <f t="shared" si="2"/>
        <v/>
      </c>
      <c r="K191" s="146" t="str">
        <f>IF(L191=0,"",IF(Ijour=0,MIN(DATE(YEAR(DebAmort),MONTH(DebAmort)+(H191-1)*Imois,Jour1),DATE(YEAR(DebAmort),MONTH(DebAmort)+1+(H191-1)*Imois,0)),DATE(YEAR(DebAmort),MONTH(DebAmort),Jour1+(H191-1)*Ijour)))</f>
        <v/>
      </c>
      <c r="L191" s="147">
        <f t="shared" si="5"/>
        <v>0</v>
      </c>
      <c r="M191" s="135">
        <f>IF(H191&lt;=NoEchMaxi,ROUND(L191*R191,NbDeci),0)</f>
        <v>0</v>
      </c>
      <c r="N191" s="134">
        <f>IF(OR(H191&lt;=Différé,H191&gt;NoEchMaxi),IF(DiffTotal,-M191,0),IF(H191&gt;=NoEchRemb,L191,IF(S191-(M191*EchFIXE)&gt;L191-2,L191,S191-(M191*EchFIXE))))+C191</f>
        <v>0</v>
      </c>
      <c r="O191" s="136">
        <f>IF(OR(L191=0,H191&gt;NoEchMaxi),0,ROUND(FraisF+FraisV*L191,NbDeci))+F191</f>
        <v>0</v>
      </c>
      <c r="P191" s="148">
        <f t="shared" si="3"/>
        <v>0</v>
      </c>
      <c r="Q191" s="1"/>
      <c r="R191" s="138">
        <f>IF(B191&gt;0,IF(TauxActuariel,((B191+1)^(1/NbEchAn))-1,B191/NbEchAn),R190)</f>
        <v>0.04</v>
      </c>
      <c r="S191" s="139">
        <f>IF(E191&gt;0,E191,IF(D191&gt;0,IF(AND(EchFIXE,R191&gt;0),ROUND((L191-C191)*R191/(1-((1+R191)^-D191)),NbDeci),ROUND(L191/D191,NbDeci)),S190))</f>
        <v>6664</v>
      </c>
      <c r="T191" s="1"/>
      <c r="U191" s="1"/>
      <c r="V191" s="1"/>
      <c r="W191" s="1"/>
      <c r="X191" s="1"/>
      <c r="Y191" s="1"/>
      <c r="Z191" s="1"/>
      <c r="AA191" s="1"/>
    </row>
    <row r="192" ht="12.75" customHeight="1">
      <c r="A192" s="1"/>
      <c r="B192" s="140"/>
      <c r="C192" s="141"/>
      <c r="D192" s="142"/>
      <c r="E192" s="143"/>
      <c r="F192" s="144"/>
      <c r="G192" s="1"/>
      <c r="H192" s="131" t="str">
        <f t="shared" si="4"/>
        <v/>
      </c>
      <c r="I192" s="132" t="str">
        <f>IF(L192&gt;0,NbEch+Différé+1-H192,"")</f>
        <v/>
      </c>
      <c r="J192" s="145" t="str">
        <f t="shared" si="2"/>
        <v/>
      </c>
      <c r="K192" s="146" t="str">
        <f>IF(L192=0,"",IF(Ijour=0,MIN(DATE(YEAR(DebAmort),MONTH(DebAmort)+MoisD+(H192-1)*Imois,Jour2),DATE(YEAR(DebAmort),MONTH(DebAmort)+MoisD+1+(H192-1)*Imois,0)),DATE(YEAR(DebAmort),MONTH(DebAmort),Jour1+(H192-1)*Ijour)))</f>
        <v/>
      </c>
      <c r="L192" s="147">
        <f t="shared" si="5"/>
        <v>0</v>
      </c>
      <c r="M192" s="135">
        <f>IF(H192&lt;=NoEchMaxi,ROUND(L192*R192,NbDeci),0)</f>
        <v>0</v>
      </c>
      <c r="N192" s="134">
        <f>IF(OR(H192&lt;=Différé,H192&gt;NoEchMaxi),IF(DiffTotal,-M192,0),IF(H192&gt;=NoEchRemb,L192,IF(S192-(M192*EchFIXE)&gt;L192-2,L192,S192-(M192*EchFIXE))))+C192</f>
        <v>0</v>
      </c>
      <c r="O192" s="136">
        <f>IF(OR(L192=0,H192&gt;NoEchMaxi),0,ROUND(FraisF+FraisV*L192,NbDeci))+F192</f>
        <v>0</v>
      </c>
      <c r="P192" s="148">
        <f t="shared" si="3"/>
        <v>0</v>
      </c>
      <c r="Q192" s="1"/>
      <c r="R192" s="138">
        <f>IF(B192&gt;0,IF(TauxActuariel,((B192+1)^(1/NbEchAn))-1,B192/NbEchAn),R191)</f>
        <v>0.04</v>
      </c>
      <c r="S192" s="139">
        <f>IF(E192&gt;0,E192,IF(D192&gt;0,IF(AND(EchFIXE,R192&gt;0),ROUND((L192-C192)*R192/(1-((1+R192)^-D192)),NbDeci),ROUND(L192/D192,NbDeci)),S191))</f>
        <v>6664</v>
      </c>
      <c r="T192" s="1"/>
      <c r="U192" s="1"/>
      <c r="V192" s="1"/>
      <c r="W192" s="1"/>
      <c r="X192" s="1"/>
      <c r="Y192" s="1"/>
      <c r="Z192" s="1"/>
      <c r="AA192" s="1"/>
    </row>
    <row r="193" ht="12.75" customHeight="1">
      <c r="A193" s="1"/>
      <c r="B193" s="140"/>
      <c r="C193" s="141"/>
      <c r="D193" s="142"/>
      <c r="E193" s="143"/>
      <c r="F193" s="144"/>
      <c r="G193" s="1"/>
      <c r="H193" s="131" t="str">
        <f t="shared" si="4"/>
        <v/>
      </c>
      <c r="I193" s="132" t="str">
        <f>IF(L193&gt;0,NbEch+Différé+1-H193,"")</f>
        <v/>
      </c>
      <c r="J193" s="145" t="str">
        <f t="shared" si="2"/>
        <v/>
      </c>
      <c r="K193" s="146" t="str">
        <f>IF(L193=0,"",IF(Ijour=0,MIN(DATE(YEAR(DebAmort),MONTH(DebAmort)+(H193-1)*Imois,Jour1),DATE(YEAR(DebAmort),MONTH(DebAmort)+1+(H193-1)*Imois,0)),DATE(YEAR(DebAmort),MONTH(DebAmort),Jour1+(H193-1)*Ijour)))</f>
        <v/>
      </c>
      <c r="L193" s="147">
        <f t="shared" si="5"/>
        <v>0</v>
      </c>
      <c r="M193" s="135">
        <f>IF(H193&lt;=NoEchMaxi,ROUND(L193*R193,NbDeci),0)</f>
        <v>0</v>
      </c>
      <c r="N193" s="134">
        <f>IF(OR(H193&lt;=Différé,H193&gt;NoEchMaxi),IF(DiffTotal,-M193,0),IF(H193&gt;=NoEchRemb,L193,IF(S193-(M193*EchFIXE)&gt;L193-2,L193,S193-(M193*EchFIXE))))+C193</f>
        <v>0</v>
      </c>
      <c r="O193" s="136">
        <f>IF(OR(L193=0,H193&gt;NoEchMaxi),0,ROUND(FraisF+FraisV*L193,NbDeci))+F193</f>
        <v>0</v>
      </c>
      <c r="P193" s="148">
        <f t="shared" si="3"/>
        <v>0</v>
      </c>
      <c r="Q193" s="1"/>
      <c r="R193" s="138">
        <f>IF(B193&gt;0,IF(TauxActuariel,((B193+1)^(1/NbEchAn))-1,B193/NbEchAn),R192)</f>
        <v>0.04</v>
      </c>
      <c r="S193" s="139">
        <f>IF(E193&gt;0,E193,IF(D193&gt;0,IF(AND(EchFIXE,R193&gt;0),ROUND((L193-C193)*R193/(1-((1+R193)^-D193)),NbDeci),ROUND(L193/D193,NbDeci)),S192))</f>
        <v>6664</v>
      </c>
      <c r="T193" s="1"/>
      <c r="U193" s="1"/>
      <c r="V193" s="1"/>
      <c r="W193" s="1"/>
      <c r="X193" s="1"/>
      <c r="Y193" s="1"/>
      <c r="Z193" s="1"/>
      <c r="AA193" s="1"/>
    </row>
    <row r="194" ht="12.75" customHeight="1">
      <c r="A194" s="1"/>
      <c r="B194" s="140"/>
      <c r="C194" s="141"/>
      <c r="D194" s="142"/>
      <c r="E194" s="143"/>
      <c r="F194" s="144"/>
      <c r="G194" s="1"/>
      <c r="H194" s="131" t="str">
        <f t="shared" si="4"/>
        <v/>
      </c>
      <c r="I194" s="132" t="str">
        <f>IF(L194&gt;0,NbEch+Différé+1-H194,"")</f>
        <v/>
      </c>
      <c r="J194" s="145" t="str">
        <f t="shared" si="2"/>
        <v/>
      </c>
      <c r="K194" s="146" t="str">
        <f>IF(L194=0,"",IF(Ijour=0,MIN(DATE(YEAR(DebAmort),MONTH(DebAmort)+MoisD+(H194-1)*Imois,Jour2),DATE(YEAR(DebAmort),MONTH(DebAmort)+MoisD+1+(H194-1)*Imois,0)),DATE(YEAR(DebAmort),MONTH(DebAmort),Jour1+(H194-1)*Ijour)))</f>
        <v/>
      </c>
      <c r="L194" s="147">
        <f t="shared" si="5"/>
        <v>0</v>
      </c>
      <c r="M194" s="135">
        <f>IF(H194&lt;=NoEchMaxi,ROUND(L194*R194,NbDeci),0)</f>
        <v>0</v>
      </c>
      <c r="N194" s="134">
        <f>IF(OR(H194&lt;=Différé,H194&gt;NoEchMaxi),IF(DiffTotal,-M194,0),IF(H194&gt;=NoEchRemb,L194,IF(S194-(M194*EchFIXE)&gt;L194-2,L194,S194-(M194*EchFIXE))))+C194</f>
        <v>0</v>
      </c>
      <c r="O194" s="136">
        <f>IF(OR(L194=0,H194&gt;NoEchMaxi),0,ROUND(FraisF+FraisV*L194,NbDeci))+F194</f>
        <v>0</v>
      </c>
      <c r="P194" s="148">
        <f t="shared" si="3"/>
        <v>0</v>
      </c>
      <c r="Q194" s="1"/>
      <c r="R194" s="138">
        <f>IF(B194&gt;0,IF(TauxActuariel,((B194+1)^(1/NbEchAn))-1,B194/NbEchAn),R193)</f>
        <v>0.04</v>
      </c>
      <c r="S194" s="139">
        <f>IF(E194&gt;0,E194,IF(D194&gt;0,IF(AND(EchFIXE,R194&gt;0),ROUND((L194-C194)*R194/(1-((1+R194)^-D194)),NbDeci),ROUND(L194/D194,NbDeci)),S193))</f>
        <v>6664</v>
      </c>
      <c r="T194" s="1"/>
      <c r="U194" s="1"/>
      <c r="V194" s="1"/>
      <c r="W194" s="1"/>
      <c r="X194" s="1"/>
      <c r="Y194" s="1"/>
      <c r="Z194" s="1"/>
      <c r="AA194" s="1"/>
    </row>
    <row r="195" ht="12.75" customHeight="1">
      <c r="A195" s="1"/>
      <c r="B195" s="140"/>
      <c r="C195" s="141"/>
      <c r="D195" s="142"/>
      <c r="E195" s="143"/>
      <c r="F195" s="144"/>
      <c r="G195" s="1"/>
      <c r="H195" s="131" t="str">
        <f t="shared" si="4"/>
        <v/>
      </c>
      <c r="I195" s="132" t="str">
        <f>IF(L195&gt;0,NbEch+Différé+1-H195,"")</f>
        <v/>
      </c>
      <c r="J195" s="145" t="str">
        <f t="shared" si="2"/>
        <v/>
      </c>
      <c r="K195" s="146" t="str">
        <f>IF(L195=0,"",IF(Ijour=0,MIN(DATE(YEAR(DebAmort),MONTH(DebAmort)+(H195-1)*Imois,Jour1),DATE(YEAR(DebAmort),MONTH(DebAmort)+1+(H195-1)*Imois,0)),DATE(YEAR(DebAmort),MONTH(DebAmort),Jour1+(H195-1)*Ijour)))</f>
        <v/>
      </c>
      <c r="L195" s="147">
        <f t="shared" si="5"/>
        <v>0</v>
      </c>
      <c r="M195" s="135">
        <f>IF(H195&lt;=NoEchMaxi,ROUND(L195*R195,NbDeci),0)</f>
        <v>0</v>
      </c>
      <c r="N195" s="134">
        <f>IF(OR(H195&lt;=Différé,H195&gt;NoEchMaxi),IF(DiffTotal,-M195,0),IF(H195&gt;=NoEchRemb,L195,IF(S195-(M195*EchFIXE)&gt;L195-2,L195,S195-(M195*EchFIXE))))+C195</f>
        <v>0</v>
      </c>
      <c r="O195" s="136">
        <f>IF(OR(L195=0,H195&gt;NoEchMaxi),0,ROUND(FraisF+FraisV*L195,NbDeci))+F195</f>
        <v>0</v>
      </c>
      <c r="P195" s="148">
        <f t="shared" si="3"/>
        <v>0</v>
      </c>
      <c r="Q195" s="1"/>
      <c r="R195" s="138">
        <f>IF(B195&gt;0,IF(TauxActuariel,((B195+1)^(1/NbEchAn))-1,B195/NbEchAn),R194)</f>
        <v>0.04</v>
      </c>
      <c r="S195" s="139">
        <f>IF(E195&gt;0,E195,IF(D195&gt;0,IF(AND(EchFIXE,R195&gt;0),ROUND((L195-C195)*R195/(1-((1+R195)^-D195)),NbDeci),ROUND(L195/D195,NbDeci)),S194))</f>
        <v>6664</v>
      </c>
      <c r="T195" s="1"/>
      <c r="U195" s="1"/>
      <c r="V195" s="1"/>
      <c r="W195" s="1"/>
      <c r="X195" s="1"/>
      <c r="Y195" s="1"/>
      <c r="Z195" s="1"/>
      <c r="AA195" s="1"/>
    </row>
    <row r="196" ht="12.75" customHeight="1">
      <c r="A196" s="1"/>
      <c r="B196" s="140"/>
      <c r="C196" s="141"/>
      <c r="D196" s="142"/>
      <c r="E196" s="143"/>
      <c r="F196" s="144"/>
      <c r="G196" s="1"/>
      <c r="H196" s="131" t="str">
        <f t="shared" si="4"/>
        <v/>
      </c>
      <c r="I196" s="132" t="str">
        <f>IF(L196&gt;0,NbEch+Différé+1-H196,"")</f>
        <v/>
      </c>
      <c r="J196" s="145" t="str">
        <f t="shared" si="2"/>
        <v/>
      </c>
      <c r="K196" s="146" t="str">
        <f>IF(L196=0,"",IF(Ijour=0,MIN(DATE(YEAR(DebAmort),MONTH(DebAmort)+MoisD+(H196-1)*Imois,Jour2),DATE(YEAR(DebAmort),MONTH(DebAmort)+MoisD+1+(H196-1)*Imois,0)),DATE(YEAR(DebAmort),MONTH(DebAmort),Jour1+(H196-1)*Ijour)))</f>
        <v/>
      </c>
      <c r="L196" s="147">
        <f t="shared" si="5"/>
        <v>0</v>
      </c>
      <c r="M196" s="135">
        <f>IF(H196&lt;=NoEchMaxi,ROUND(L196*R196,NbDeci),0)</f>
        <v>0</v>
      </c>
      <c r="N196" s="134">
        <f>IF(OR(H196&lt;=Différé,H196&gt;NoEchMaxi),IF(DiffTotal,-M196,0),IF(H196&gt;=NoEchRemb,L196,IF(S196-(M196*EchFIXE)&gt;L196-2,L196,S196-(M196*EchFIXE))))+C196</f>
        <v>0</v>
      </c>
      <c r="O196" s="136">
        <f>IF(OR(L196=0,H196&gt;NoEchMaxi),0,ROUND(FraisF+FraisV*L196,NbDeci))+F196</f>
        <v>0</v>
      </c>
      <c r="P196" s="148">
        <f t="shared" si="3"/>
        <v>0</v>
      </c>
      <c r="Q196" s="1"/>
      <c r="R196" s="138">
        <f>IF(B196&gt;0,IF(TauxActuariel,((B196+1)^(1/NbEchAn))-1,B196/NbEchAn),R195)</f>
        <v>0.04</v>
      </c>
      <c r="S196" s="139">
        <f>IF(E196&gt;0,E196,IF(D196&gt;0,IF(AND(EchFIXE,R196&gt;0),ROUND((L196-C196)*R196/(1-((1+R196)^-D196)),NbDeci),ROUND(L196/D196,NbDeci)),S195))</f>
        <v>6664</v>
      </c>
      <c r="T196" s="1"/>
      <c r="U196" s="1"/>
      <c r="V196" s="1"/>
      <c r="W196" s="1"/>
      <c r="X196" s="1"/>
      <c r="Y196" s="1"/>
      <c r="Z196" s="1"/>
      <c r="AA196" s="1"/>
    </row>
    <row r="197" ht="12.75" customHeight="1">
      <c r="A197" s="1"/>
      <c r="B197" s="140"/>
      <c r="C197" s="141"/>
      <c r="D197" s="142"/>
      <c r="E197" s="143"/>
      <c r="F197" s="144"/>
      <c r="G197" s="1"/>
      <c r="H197" s="131" t="str">
        <f t="shared" si="4"/>
        <v/>
      </c>
      <c r="I197" s="132" t="str">
        <f>IF(L197&gt;0,NbEch+Différé+1-H197,"")</f>
        <v/>
      </c>
      <c r="J197" s="145" t="str">
        <f t="shared" si="2"/>
        <v/>
      </c>
      <c r="K197" s="146" t="str">
        <f>IF(L197=0,"",IF(Ijour=0,MIN(DATE(YEAR(DebAmort),MONTH(DebAmort)+(H197-1)*Imois,Jour1),DATE(YEAR(DebAmort),MONTH(DebAmort)+1+(H197-1)*Imois,0)),DATE(YEAR(DebAmort),MONTH(DebAmort),Jour1+(H197-1)*Ijour)))</f>
        <v/>
      </c>
      <c r="L197" s="147">
        <f t="shared" si="5"/>
        <v>0</v>
      </c>
      <c r="M197" s="135">
        <f>IF(H197&lt;=NoEchMaxi,ROUND(L197*R197,NbDeci),0)</f>
        <v>0</v>
      </c>
      <c r="N197" s="134">
        <f>IF(OR(H197&lt;=Différé,H197&gt;NoEchMaxi),IF(DiffTotal,-M197,0),IF(H197&gt;=NoEchRemb,L197,IF(S197-(M197*EchFIXE)&gt;L197-2,L197,S197-(M197*EchFIXE))))+C197</f>
        <v>0</v>
      </c>
      <c r="O197" s="136">
        <f>IF(OR(L197=0,H197&gt;NoEchMaxi),0,ROUND(FraisF+FraisV*L197,NbDeci))+F197</f>
        <v>0</v>
      </c>
      <c r="P197" s="148">
        <f t="shared" si="3"/>
        <v>0</v>
      </c>
      <c r="Q197" s="1"/>
      <c r="R197" s="138">
        <f>IF(B197&gt;0,IF(TauxActuariel,((B197+1)^(1/NbEchAn))-1,B197/NbEchAn),R196)</f>
        <v>0.04</v>
      </c>
      <c r="S197" s="139">
        <f>IF(E197&gt;0,E197,IF(D197&gt;0,IF(AND(EchFIXE,R197&gt;0),ROUND((L197-C197)*R197/(1-((1+R197)^-D197)),NbDeci),ROUND(L197/D197,NbDeci)),S196))</f>
        <v>6664</v>
      </c>
      <c r="T197" s="1"/>
      <c r="U197" s="1"/>
      <c r="V197" s="1"/>
      <c r="W197" s="1"/>
      <c r="X197" s="1"/>
      <c r="Y197" s="1"/>
      <c r="Z197" s="1"/>
      <c r="AA197" s="1"/>
    </row>
    <row r="198" ht="12.75" customHeight="1">
      <c r="A198" s="1"/>
      <c r="B198" s="140"/>
      <c r="C198" s="141"/>
      <c r="D198" s="142"/>
      <c r="E198" s="143"/>
      <c r="F198" s="144"/>
      <c r="G198" s="1"/>
      <c r="H198" s="131" t="str">
        <f t="shared" si="4"/>
        <v/>
      </c>
      <c r="I198" s="132" t="str">
        <f>IF(L198&gt;0,NbEch+Différé+1-H198,"")</f>
        <v/>
      </c>
      <c r="J198" s="145" t="str">
        <f t="shared" si="2"/>
        <v/>
      </c>
      <c r="K198" s="146" t="str">
        <f>IF(L198=0,"",IF(Ijour=0,MIN(DATE(YEAR(DebAmort),MONTH(DebAmort)+MoisD+(H198-1)*Imois,Jour2),DATE(YEAR(DebAmort),MONTH(DebAmort)+MoisD+1+(H198-1)*Imois,0)),DATE(YEAR(DebAmort),MONTH(DebAmort),Jour1+(H198-1)*Ijour)))</f>
        <v/>
      </c>
      <c r="L198" s="147">
        <f t="shared" si="5"/>
        <v>0</v>
      </c>
      <c r="M198" s="135">
        <f>IF(H198&lt;=NoEchMaxi,ROUND(L198*R198,NbDeci),0)</f>
        <v>0</v>
      </c>
      <c r="N198" s="134">
        <f>IF(OR(H198&lt;=Différé,H198&gt;NoEchMaxi),IF(DiffTotal,-M198,0),IF(H198&gt;=NoEchRemb,L198,IF(S198-(M198*EchFIXE)&gt;L198-2,L198,S198-(M198*EchFIXE))))+C198</f>
        <v>0</v>
      </c>
      <c r="O198" s="136">
        <f>IF(OR(L198=0,H198&gt;NoEchMaxi),0,ROUND(FraisF+FraisV*L198,NbDeci))+F198</f>
        <v>0</v>
      </c>
      <c r="P198" s="148">
        <f t="shared" si="3"/>
        <v>0</v>
      </c>
      <c r="Q198" s="1"/>
      <c r="R198" s="138">
        <f>IF(B198&gt;0,IF(TauxActuariel,((B198+1)^(1/NbEchAn))-1,B198/NbEchAn),R197)</f>
        <v>0.04</v>
      </c>
      <c r="S198" s="139">
        <f>IF(E198&gt;0,E198,IF(D198&gt;0,IF(AND(EchFIXE,R198&gt;0),ROUND((L198-C198)*R198/(1-((1+R198)^-D198)),NbDeci),ROUND(L198/D198,NbDeci)),S197))</f>
        <v>6664</v>
      </c>
      <c r="T198" s="1"/>
      <c r="U198" s="1"/>
      <c r="V198" s="1"/>
      <c r="W198" s="1"/>
      <c r="X198" s="1"/>
      <c r="Y198" s="1"/>
      <c r="Z198" s="1"/>
      <c r="AA198" s="1"/>
    </row>
    <row r="199" ht="12.75" customHeight="1">
      <c r="A199" s="1"/>
      <c r="B199" s="140"/>
      <c r="C199" s="141"/>
      <c r="D199" s="142"/>
      <c r="E199" s="143"/>
      <c r="F199" s="144"/>
      <c r="G199" s="1"/>
      <c r="H199" s="131" t="str">
        <f t="shared" si="4"/>
        <v/>
      </c>
      <c r="I199" s="132" t="str">
        <f>IF(L199&gt;0,NbEch+Différé+1-H199,"")</f>
        <v/>
      </c>
      <c r="J199" s="145" t="str">
        <f t="shared" si="2"/>
        <v/>
      </c>
      <c r="K199" s="146" t="str">
        <f>IF(L199=0,"",IF(Ijour=0,MIN(DATE(YEAR(DebAmort),MONTH(DebAmort)+(H199-1)*Imois,Jour1),DATE(YEAR(DebAmort),MONTH(DebAmort)+1+(H199-1)*Imois,0)),DATE(YEAR(DebAmort),MONTH(DebAmort),Jour1+(H199-1)*Ijour)))</f>
        <v/>
      </c>
      <c r="L199" s="147">
        <f t="shared" si="5"/>
        <v>0</v>
      </c>
      <c r="M199" s="135">
        <f>IF(H199&lt;=NoEchMaxi,ROUND(L199*R199,NbDeci),0)</f>
        <v>0</v>
      </c>
      <c r="N199" s="134">
        <f>IF(OR(H199&lt;=Différé,H199&gt;NoEchMaxi),IF(DiffTotal,-M199,0),IF(H199&gt;=NoEchRemb,L199,IF(S199-(M199*EchFIXE)&gt;L199-2,L199,S199-(M199*EchFIXE))))+C199</f>
        <v>0</v>
      </c>
      <c r="O199" s="136">
        <f>IF(OR(L199=0,H199&gt;NoEchMaxi),0,ROUND(FraisF+FraisV*L199,NbDeci))+F199</f>
        <v>0</v>
      </c>
      <c r="P199" s="148">
        <f t="shared" si="3"/>
        <v>0</v>
      </c>
      <c r="Q199" s="1"/>
      <c r="R199" s="138">
        <f>IF(B199&gt;0,IF(TauxActuariel,((B199+1)^(1/NbEchAn))-1,B199/NbEchAn),R198)</f>
        <v>0.04</v>
      </c>
      <c r="S199" s="139">
        <f>IF(E199&gt;0,E199,IF(D199&gt;0,IF(AND(EchFIXE,R199&gt;0),ROUND((L199-C199)*R199/(1-((1+R199)^-D199)),NbDeci),ROUND(L199/D199,NbDeci)),S198))</f>
        <v>6664</v>
      </c>
      <c r="T199" s="1"/>
      <c r="U199" s="1"/>
      <c r="V199" s="1"/>
      <c r="W199" s="1"/>
      <c r="X199" s="1"/>
      <c r="Y199" s="1"/>
      <c r="Z199" s="1"/>
      <c r="AA199" s="1"/>
    </row>
    <row r="200" ht="12.75" customHeight="1">
      <c r="A200" s="1"/>
      <c r="B200" s="140"/>
      <c r="C200" s="141"/>
      <c r="D200" s="142"/>
      <c r="E200" s="143"/>
      <c r="F200" s="144"/>
      <c r="G200" s="1"/>
      <c r="H200" s="131" t="str">
        <f t="shared" si="4"/>
        <v/>
      </c>
      <c r="I200" s="132" t="str">
        <f>IF(L200&gt;0,NbEch+Différé+1-H200,"")</f>
        <v/>
      </c>
      <c r="J200" s="145" t="str">
        <f t="shared" si="2"/>
        <v/>
      </c>
      <c r="K200" s="146" t="str">
        <f>IF(L200=0,"",IF(Ijour=0,MIN(DATE(YEAR(DebAmort),MONTH(DebAmort)+MoisD+(H200-1)*Imois,Jour2),DATE(YEAR(DebAmort),MONTH(DebAmort)+MoisD+1+(H200-1)*Imois,0)),DATE(YEAR(DebAmort),MONTH(DebAmort),Jour1+(H200-1)*Ijour)))</f>
        <v/>
      </c>
      <c r="L200" s="147">
        <f t="shared" si="5"/>
        <v>0</v>
      </c>
      <c r="M200" s="135">
        <f>IF(H200&lt;=NoEchMaxi,ROUND(L200*R200,NbDeci),0)</f>
        <v>0</v>
      </c>
      <c r="N200" s="134">
        <f>IF(OR(H200&lt;=Différé,H200&gt;NoEchMaxi),IF(DiffTotal,-M200,0),IF(H200&gt;=NoEchRemb,L200,IF(S200-(M200*EchFIXE)&gt;L200-2,L200,S200-(M200*EchFIXE))))+C200</f>
        <v>0</v>
      </c>
      <c r="O200" s="136">
        <f>IF(OR(L200=0,H200&gt;NoEchMaxi),0,ROUND(FraisF+FraisV*L200,NbDeci))+F200</f>
        <v>0</v>
      </c>
      <c r="P200" s="148">
        <f t="shared" si="3"/>
        <v>0</v>
      </c>
      <c r="Q200" s="1"/>
      <c r="R200" s="138">
        <f>IF(B200&gt;0,IF(TauxActuariel,((B200+1)^(1/NbEchAn))-1,B200/NbEchAn),R199)</f>
        <v>0.04</v>
      </c>
      <c r="S200" s="139">
        <f>IF(E200&gt;0,E200,IF(D200&gt;0,IF(AND(EchFIXE,R200&gt;0),ROUND((L200-C200)*R200/(1-((1+R200)^-D200)),NbDeci),ROUND(L200/D200,NbDeci)),S199))</f>
        <v>6664</v>
      </c>
      <c r="T200" s="1"/>
      <c r="U200" s="1"/>
      <c r="V200" s="1"/>
      <c r="W200" s="1"/>
      <c r="X200" s="1"/>
      <c r="Y200" s="1"/>
      <c r="Z200" s="1"/>
      <c r="AA200" s="1"/>
    </row>
    <row r="201" ht="12.75" customHeight="1">
      <c r="A201" s="1"/>
      <c r="B201" s="140"/>
      <c r="C201" s="141"/>
      <c r="D201" s="142"/>
      <c r="E201" s="143"/>
      <c r="F201" s="144"/>
      <c r="G201" s="1"/>
      <c r="H201" s="131" t="str">
        <f t="shared" si="4"/>
        <v/>
      </c>
      <c r="I201" s="132" t="str">
        <f>IF(L201&gt;0,NbEch+Différé+1-H201,"")</f>
        <v/>
      </c>
      <c r="J201" s="145" t="str">
        <f t="shared" si="2"/>
        <v/>
      </c>
      <c r="K201" s="146" t="str">
        <f>IF(L201=0,"",IF(Ijour=0,MIN(DATE(YEAR(DebAmort),MONTH(DebAmort)+(H201-1)*Imois,Jour1),DATE(YEAR(DebAmort),MONTH(DebAmort)+1+(H201-1)*Imois,0)),DATE(YEAR(DebAmort),MONTH(DebAmort),Jour1+(H201-1)*Ijour)))</f>
        <v/>
      </c>
      <c r="L201" s="147">
        <f t="shared" si="5"/>
        <v>0</v>
      </c>
      <c r="M201" s="135">
        <f>IF(H201&lt;=NoEchMaxi,ROUND(L201*R201,NbDeci),0)</f>
        <v>0</v>
      </c>
      <c r="N201" s="134">
        <f>IF(OR(H201&lt;=Différé,H201&gt;NoEchMaxi),IF(DiffTotal,-M201,0),IF(H201&gt;=NoEchRemb,L201,IF(S201-(M201*EchFIXE)&gt;L201-2,L201,S201-(M201*EchFIXE))))+C201</f>
        <v>0</v>
      </c>
      <c r="O201" s="136">
        <f>IF(OR(L201=0,H201&gt;NoEchMaxi),0,ROUND(FraisF+FraisV*L201,NbDeci))+F201</f>
        <v>0</v>
      </c>
      <c r="P201" s="148">
        <f t="shared" si="3"/>
        <v>0</v>
      </c>
      <c r="Q201" s="1"/>
      <c r="R201" s="138">
        <f>IF(B201&gt;0,IF(TauxActuariel,((B201+1)^(1/NbEchAn))-1,B201/NbEchAn),R200)</f>
        <v>0.04</v>
      </c>
      <c r="S201" s="139">
        <f>IF(E201&gt;0,E201,IF(D201&gt;0,IF(AND(EchFIXE,R201&gt;0),ROUND((L201-C201)*R201/(1-((1+R201)^-D201)),NbDeci),ROUND(L201/D201,NbDeci)),S200))</f>
        <v>6664</v>
      </c>
      <c r="T201" s="1"/>
      <c r="U201" s="1"/>
      <c r="V201" s="1"/>
      <c r="W201" s="1"/>
      <c r="X201" s="1"/>
      <c r="Y201" s="1"/>
      <c r="Z201" s="1"/>
      <c r="AA201" s="1"/>
    </row>
    <row r="202" ht="12.75" customHeight="1">
      <c r="A202" s="1"/>
      <c r="B202" s="140"/>
      <c r="C202" s="141"/>
      <c r="D202" s="142"/>
      <c r="E202" s="143"/>
      <c r="F202" s="144"/>
      <c r="G202" s="1"/>
      <c r="H202" s="131" t="str">
        <f t="shared" si="4"/>
        <v/>
      </c>
      <c r="I202" s="132" t="str">
        <f>IF(L202&gt;0,NbEch+Différé+1-H202,"")</f>
        <v/>
      </c>
      <c r="J202" s="145" t="str">
        <f t="shared" si="2"/>
        <v/>
      </c>
      <c r="K202" s="146" t="str">
        <f>IF(L202=0,"",IF(Ijour=0,MIN(DATE(YEAR(DebAmort),MONTH(DebAmort)+MoisD+(H202-1)*Imois,Jour2),DATE(YEAR(DebAmort),MONTH(DebAmort)+MoisD+1+(H202-1)*Imois,0)),DATE(YEAR(DebAmort),MONTH(DebAmort),Jour1+(H202-1)*Ijour)))</f>
        <v/>
      </c>
      <c r="L202" s="147">
        <f t="shared" si="5"/>
        <v>0</v>
      </c>
      <c r="M202" s="135">
        <f>IF(H202&lt;=NoEchMaxi,ROUND(L202*R202,NbDeci),0)</f>
        <v>0</v>
      </c>
      <c r="N202" s="134">
        <f>IF(OR(H202&lt;=Différé,H202&gt;NoEchMaxi),IF(DiffTotal,-M202,0),IF(H202&gt;=NoEchRemb,L202,IF(S202-(M202*EchFIXE)&gt;L202-2,L202,S202-(M202*EchFIXE))))+C202</f>
        <v>0</v>
      </c>
      <c r="O202" s="136">
        <f>IF(OR(L202=0,H202&gt;NoEchMaxi),0,ROUND(FraisF+FraisV*L202,NbDeci))+F202</f>
        <v>0</v>
      </c>
      <c r="P202" s="148">
        <f t="shared" si="3"/>
        <v>0</v>
      </c>
      <c r="Q202" s="1"/>
      <c r="R202" s="138">
        <f>IF(B202&gt;0,IF(TauxActuariel,((B202+1)^(1/NbEchAn))-1,B202/NbEchAn),R201)</f>
        <v>0.04</v>
      </c>
      <c r="S202" s="139">
        <f>IF(E202&gt;0,E202,IF(D202&gt;0,IF(AND(EchFIXE,R202&gt;0),ROUND((L202-C202)*R202/(1-((1+R202)^-D202)),NbDeci),ROUND(L202/D202,NbDeci)),S201))</f>
        <v>6664</v>
      </c>
      <c r="T202" s="1"/>
      <c r="U202" s="1"/>
      <c r="V202" s="1"/>
      <c r="W202" s="1"/>
      <c r="X202" s="1"/>
      <c r="Y202" s="1"/>
      <c r="Z202" s="1"/>
      <c r="AA202" s="1"/>
    </row>
    <row r="203" ht="12.75" customHeight="1">
      <c r="A203" s="1"/>
      <c r="B203" s="140"/>
      <c r="C203" s="141"/>
      <c r="D203" s="142"/>
      <c r="E203" s="143"/>
      <c r="F203" s="144"/>
      <c r="G203" s="1"/>
      <c r="H203" s="131" t="str">
        <f t="shared" si="4"/>
        <v/>
      </c>
      <c r="I203" s="132" t="str">
        <f>IF(L203&gt;0,NbEch+Différé+1-H203,"")</f>
        <v/>
      </c>
      <c r="J203" s="145" t="str">
        <f t="shared" si="2"/>
        <v/>
      </c>
      <c r="K203" s="146" t="str">
        <f>IF(L203=0,"",IF(Ijour=0,MIN(DATE(YEAR(DebAmort),MONTH(DebAmort)+(H203-1)*Imois,Jour1),DATE(YEAR(DebAmort),MONTH(DebAmort)+1+(H203-1)*Imois,0)),DATE(YEAR(DebAmort),MONTH(DebAmort),Jour1+(H203-1)*Ijour)))</f>
        <v/>
      </c>
      <c r="L203" s="147">
        <f t="shared" si="5"/>
        <v>0</v>
      </c>
      <c r="M203" s="135">
        <f>IF(H203&lt;=NoEchMaxi,ROUND(L203*R203,NbDeci),0)</f>
        <v>0</v>
      </c>
      <c r="N203" s="134">
        <f>IF(OR(H203&lt;=Différé,H203&gt;NoEchMaxi),IF(DiffTotal,-M203,0),IF(H203&gt;=NoEchRemb,L203,IF(S203-(M203*EchFIXE)&gt;L203-2,L203,S203-(M203*EchFIXE))))+C203</f>
        <v>0</v>
      </c>
      <c r="O203" s="136">
        <f>IF(OR(L203=0,H203&gt;NoEchMaxi),0,ROUND(FraisF+FraisV*L203,NbDeci))+F203</f>
        <v>0</v>
      </c>
      <c r="P203" s="148">
        <f t="shared" si="3"/>
        <v>0</v>
      </c>
      <c r="Q203" s="1"/>
      <c r="R203" s="138">
        <f>IF(B203&gt;0,IF(TauxActuariel,((B203+1)^(1/NbEchAn))-1,B203/NbEchAn),R202)</f>
        <v>0.04</v>
      </c>
      <c r="S203" s="139">
        <f>IF(E203&gt;0,E203,IF(D203&gt;0,IF(AND(EchFIXE,R203&gt;0),ROUND((L203-C203)*R203/(1-((1+R203)^-D203)),NbDeci),ROUND(L203/D203,NbDeci)),S202))</f>
        <v>6664</v>
      </c>
      <c r="T203" s="1"/>
      <c r="U203" s="1"/>
      <c r="V203" s="1"/>
      <c r="W203" s="1"/>
      <c r="X203" s="1"/>
      <c r="Y203" s="1"/>
      <c r="Z203" s="1"/>
      <c r="AA203" s="1"/>
    </row>
    <row r="204" ht="12.75" customHeight="1">
      <c r="A204" s="1"/>
      <c r="B204" s="140"/>
      <c r="C204" s="141"/>
      <c r="D204" s="142"/>
      <c r="E204" s="143"/>
      <c r="F204" s="144"/>
      <c r="G204" s="1"/>
      <c r="H204" s="131" t="str">
        <f t="shared" si="4"/>
        <v/>
      </c>
      <c r="I204" s="132" t="str">
        <f>IF(L204&gt;0,NbEch+Différé+1-H204,"")</f>
        <v/>
      </c>
      <c r="J204" s="145" t="str">
        <f t="shared" si="2"/>
        <v/>
      </c>
      <c r="K204" s="146" t="str">
        <f>IF(L204=0,"",IF(Ijour=0,MIN(DATE(YEAR(DebAmort),MONTH(DebAmort)+MoisD+(H204-1)*Imois,Jour2),DATE(YEAR(DebAmort),MONTH(DebAmort)+MoisD+1+(H204-1)*Imois,0)),DATE(YEAR(DebAmort),MONTH(DebAmort),Jour1+(H204-1)*Ijour)))</f>
        <v/>
      </c>
      <c r="L204" s="147">
        <f t="shared" si="5"/>
        <v>0</v>
      </c>
      <c r="M204" s="135">
        <f>IF(H204&lt;=NoEchMaxi,ROUND(L204*R204,NbDeci),0)</f>
        <v>0</v>
      </c>
      <c r="N204" s="134">
        <f>IF(OR(H204&lt;=Différé,H204&gt;NoEchMaxi),IF(DiffTotal,-M204,0),IF(H204&gt;=NoEchRemb,L204,IF(S204-(M204*EchFIXE)&gt;L204-2,L204,S204-(M204*EchFIXE))))+C204</f>
        <v>0</v>
      </c>
      <c r="O204" s="136">
        <f>IF(OR(L204=0,H204&gt;NoEchMaxi),0,ROUND(FraisF+FraisV*L204,NbDeci))+F204</f>
        <v>0</v>
      </c>
      <c r="P204" s="148">
        <f t="shared" si="3"/>
        <v>0</v>
      </c>
      <c r="Q204" s="1"/>
      <c r="R204" s="138">
        <f>IF(B204&gt;0,IF(TauxActuariel,((B204+1)^(1/NbEchAn))-1,B204/NbEchAn),R203)</f>
        <v>0.04</v>
      </c>
      <c r="S204" s="139">
        <f>IF(E204&gt;0,E204,IF(D204&gt;0,IF(AND(EchFIXE,R204&gt;0),ROUND((L204-C204)*R204/(1-((1+R204)^-D204)),NbDeci),ROUND(L204/D204,NbDeci)),S203))</f>
        <v>6664</v>
      </c>
      <c r="T204" s="1"/>
      <c r="U204" s="1"/>
      <c r="V204" s="1"/>
      <c r="W204" s="1"/>
      <c r="X204" s="1"/>
      <c r="Y204" s="1"/>
      <c r="Z204" s="1"/>
      <c r="AA204" s="1"/>
    </row>
    <row r="205" ht="12.75" customHeight="1">
      <c r="A205" s="1"/>
      <c r="B205" s="140"/>
      <c r="C205" s="141"/>
      <c r="D205" s="142"/>
      <c r="E205" s="143"/>
      <c r="F205" s="144"/>
      <c r="G205" s="1"/>
      <c r="H205" s="131" t="str">
        <f t="shared" si="4"/>
        <v/>
      </c>
      <c r="I205" s="132" t="str">
        <f>IF(L205&gt;0,NbEch+Différé+1-H205,"")</f>
        <v/>
      </c>
      <c r="J205" s="145" t="str">
        <f t="shared" si="2"/>
        <v/>
      </c>
      <c r="K205" s="146" t="str">
        <f>IF(L205=0,"",IF(Ijour=0,MIN(DATE(YEAR(DebAmort),MONTH(DebAmort)+(H205-1)*Imois,Jour1),DATE(YEAR(DebAmort),MONTH(DebAmort)+1+(H205-1)*Imois,0)),DATE(YEAR(DebAmort),MONTH(DebAmort),Jour1+(H205-1)*Ijour)))</f>
        <v/>
      </c>
      <c r="L205" s="147">
        <f t="shared" si="5"/>
        <v>0</v>
      </c>
      <c r="M205" s="135">
        <f>IF(H205&lt;=NoEchMaxi,ROUND(L205*R205,NbDeci),0)</f>
        <v>0</v>
      </c>
      <c r="N205" s="134">
        <f>IF(OR(H205&lt;=Différé,H205&gt;NoEchMaxi),IF(DiffTotal,-M205,0),IF(H205&gt;=NoEchRemb,L205,IF(S205-(M205*EchFIXE)&gt;L205-2,L205,S205-(M205*EchFIXE))))+C205</f>
        <v>0</v>
      </c>
      <c r="O205" s="136">
        <f>IF(OR(L205=0,H205&gt;NoEchMaxi),0,ROUND(FraisF+FraisV*L205,NbDeci))+F205</f>
        <v>0</v>
      </c>
      <c r="P205" s="148">
        <f t="shared" si="3"/>
        <v>0</v>
      </c>
      <c r="Q205" s="1"/>
      <c r="R205" s="138">
        <f>IF(B205&gt;0,IF(TauxActuariel,((B205+1)^(1/NbEchAn))-1,B205/NbEchAn),R204)</f>
        <v>0.04</v>
      </c>
      <c r="S205" s="139">
        <f>IF(E205&gt;0,E205,IF(D205&gt;0,IF(AND(EchFIXE,R205&gt;0),ROUND((L205-C205)*R205/(1-((1+R205)^-D205)),NbDeci),ROUND(L205/D205,NbDeci)),S204))</f>
        <v>6664</v>
      </c>
      <c r="T205" s="1"/>
      <c r="U205" s="1"/>
      <c r="V205" s="1"/>
      <c r="W205" s="1"/>
      <c r="X205" s="1"/>
      <c r="Y205" s="1"/>
      <c r="Z205" s="1"/>
      <c r="AA205" s="1"/>
    </row>
    <row r="206" ht="12.75" customHeight="1">
      <c r="A206" s="1"/>
      <c r="B206" s="140"/>
      <c r="C206" s="141"/>
      <c r="D206" s="142"/>
      <c r="E206" s="143"/>
      <c r="F206" s="144"/>
      <c r="G206" s="1"/>
      <c r="H206" s="131" t="str">
        <f t="shared" si="4"/>
        <v/>
      </c>
      <c r="I206" s="132" t="str">
        <f>IF(L206&gt;0,NbEch+Différé+1-H206,"")</f>
        <v/>
      </c>
      <c r="J206" s="145" t="str">
        <f t="shared" si="2"/>
        <v/>
      </c>
      <c r="K206" s="146" t="str">
        <f>IF(L206=0,"",IF(Ijour=0,MIN(DATE(YEAR(DebAmort),MONTH(DebAmort)+MoisD+(H206-1)*Imois,Jour2),DATE(YEAR(DebAmort),MONTH(DebAmort)+MoisD+1+(H206-1)*Imois,0)),DATE(YEAR(DebAmort),MONTH(DebAmort),Jour1+(H206-1)*Ijour)))</f>
        <v/>
      </c>
      <c r="L206" s="147">
        <f t="shared" si="5"/>
        <v>0</v>
      </c>
      <c r="M206" s="135">
        <f>IF(H206&lt;=NoEchMaxi,ROUND(L206*R206,NbDeci),0)</f>
        <v>0</v>
      </c>
      <c r="N206" s="134">
        <f>IF(OR(H206&lt;=Différé,H206&gt;NoEchMaxi),IF(DiffTotal,-M206,0),IF(H206&gt;=NoEchRemb,L206,IF(S206-(M206*EchFIXE)&gt;L206-2,L206,S206-(M206*EchFIXE))))+C206</f>
        <v>0</v>
      </c>
      <c r="O206" s="136">
        <f>IF(OR(L206=0,H206&gt;NoEchMaxi),0,ROUND(FraisF+FraisV*L206,NbDeci))+F206</f>
        <v>0</v>
      </c>
      <c r="P206" s="148">
        <f t="shared" si="3"/>
        <v>0</v>
      </c>
      <c r="Q206" s="1"/>
      <c r="R206" s="138">
        <f>IF(B206&gt;0,IF(TauxActuariel,((B206+1)^(1/NbEchAn))-1,B206/NbEchAn),R205)</f>
        <v>0.04</v>
      </c>
      <c r="S206" s="139">
        <f>IF(E206&gt;0,E206,IF(D206&gt;0,IF(AND(EchFIXE,R206&gt;0),ROUND((L206-C206)*R206/(1-((1+R206)^-D206)),NbDeci),ROUND(L206/D206,NbDeci)),S205))</f>
        <v>6664</v>
      </c>
      <c r="T206" s="1"/>
      <c r="U206" s="1"/>
      <c r="V206" s="1"/>
      <c r="W206" s="1"/>
      <c r="X206" s="1"/>
      <c r="Y206" s="1"/>
      <c r="Z206" s="1"/>
      <c r="AA206" s="1"/>
    </row>
    <row r="207" ht="12.75" customHeight="1">
      <c r="A207" s="1"/>
      <c r="B207" s="140"/>
      <c r="C207" s="141"/>
      <c r="D207" s="142"/>
      <c r="E207" s="143"/>
      <c r="F207" s="144"/>
      <c r="G207" s="1"/>
      <c r="H207" s="131" t="str">
        <f t="shared" si="4"/>
        <v/>
      </c>
      <c r="I207" s="132" t="str">
        <f>IF(L207&gt;0,NbEch+Différé+1-H207,"")</f>
        <v/>
      </c>
      <c r="J207" s="145" t="str">
        <f t="shared" si="2"/>
        <v/>
      </c>
      <c r="K207" s="146" t="str">
        <f>IF(L207=0,"",IF(Ijour=0,MIN(DATE(YEAR(DebAmort),MONTH(DebAmort)+(H207-1)*Imois,Jour1),DATE(YEAR(DebAmort),MONTH(DebAmort)+1+(H207-1)*Imois,0)),DATE(YEAR(DebAmort),MONTH(DebAmort),Jour1+(H207-1)*Ijour)))</f>
        <v/>
      </c>
      <c r="L207" s="147">
        <f t="shared" si="5"/>
        <v>0</v>
      </c>
      <c r="M207" s="135">
        <f>IF(H207&lt;=NoEchMaxi,ROUND(L207*R207,NbDeci),0)</f>
        <v>0</v>
      </c>
      <c r="N207" s="134">
        <f>IF(OR(H207&lt;=Différé,H207&gt;NoEchMaxi),IF(DiffTotal,-M207,0),IF(H207&gt;=NoEchRemb,L207,IF(S207-(M207*EchFIXE)&gt;L207-2,L207,S207-(M207*EchFIXE))))+C207</f>
        <v>0</v>
      </c>
      <c r="O207" s="136">
        <f>IF(OR(L207=0,H207&gt;NoEchMaxi),0,ROUND(FraisF+FraisV*L207,NbDeci))+F207</f>
        <v>0</v>
      </c>
      <c r="P207" s="148">
        <f t="shared" si="3"/>
        <v>0</v>
      </c>
      <c r="Q207" s="1"/>
      <c r="R207" s="138">
        <f>IF(B207&gt;0,IF(TauxActuariel,((B207+1)^(1/NbEchAn))-1,B207/NbEchAn),R206)</f>
        <v>0.04</v>
      </c>
      <c r="S207" s="139">
        <f>IF(E207&gt;0,E207,IF(D207&gt;0,IF(AND(EchFIXE,R207&gt;0),ROUND((L207-C207)*R207/(1-((1+R207)^-D207)),NbDeci),ROUND(L207/D207,NbDeci)),S206))</f>
        <v>6664</v>
      </c>
      <c r="T207" s="1"/>
      <c r="U207" s="1"/>
      <c r="V207" s="1"/>
      <c r="W207" s="1"/>
      <c r="X207" s="1"/>
      <c r="Y207" s="1"/>
      <c r="Z207" s="1"/>
      <c r="AA207" s="1"/>
    </row>
    <row r="208" ht="12.75" customHeight="1">
      <c r="A208" s="1"/>
      <c r="B208" s="140"/>
      <c r="C208" s="141"/>
      <c r="D208" s="142"/>
      <c r="E208" s="143"/>
      <c r="F208" s="144"/>
      <c r="G208" s="1"/>
      <c r="H208" s="131" t="str">
        <f t="shared" si="4"/>
        <v/>
      </c>
      <c r="I208" s="132" t="str">
        <f>IF(L208&gt;0,NbEch+Différé+1-H208,"")</f>
        <v/>
      </c>
      <c r="J208" s="145" t="str">
        <f t="shared" si="2"/>
        <v/>
      </c>
      <c r="K208" s="146" t="str">
        <f>IF(L208=0,"",IF(Ijour=0,MIN(DATE(YEAR(DebAmort),MONTH(DebAmort)+MoisD+(H208-1)*Imois,Jour2),DATE(YEAR(DebAmort),MONTH(DebAmort)+MoisD+1+(H208-1)*Imois,0)),DATE(YEAR(DebAmort),MONTH(DebAmort),Jour1+(H208-1)*Ijour)))</f>
        <v/>
      </c>
      <c r="L208" s="147">
        <f t="shared" si="5"/>
        <v>0</v>
      </c>
      <c r="M208" s="135">
        <f>IF(H208&lt;=NoEchMaxi,ROUND(L208*R208,NbDeci),0)</f>
        <v>0</v>
      </c>
      <c r="N208" s="134">
        <f>IF(OR(H208&lt;=Différé,H208&gt;NoEchMaxi),IF(DiffTotal,-M208,0),IF(H208&gt;=NoEchRemb,L208,IF(S208-(M208*EchFIXE)&gt;L208-2,L208,S208-(M208*EchFIXE))))+C208</f>
        <v>0</v>
      </c>
      <c r="O208" s="136">
        <f>IF(OR(L208=0,H208&gt;NoEchMaxi),0,ROUND(FraisF+FraisV*L208,NbDeci))+F208</f>
        <v>0</v>
      </c>
      <c r="P208" s="148">
        <f t="shared" si="3"/>
        <v>0</v>
      </c>
      <c r="Q208" s="1"/>
      <c r="R208" s="138">
        <f>IF(B208&gt;0,IF(TauxActuariel,((B208+1)^(1/NbEchAn))-1,B208/NbEchAn),R207)</f>
        <v>0.04</v>
      </c>
      <c r="S208" s="139">
        <f>IF(E208&gt;0,E208,IF(D208&gt;0,IF(AND(EchFIXE,R208&gt;0),ROUND((L208-C208)*R208/(1-((1+R208)^-D208)),NbDeci),ROUND(L208/D208,NbDeci)),S207))</f>
        <v>6664</v>
      </c>
      <c r="T208" s="1"/>
      <c r="U208" s="1"/>
      <c r="V208" s="1"/>
      <c r="W208" s="1"/>
      <c r="X208" s="1"/>
      <c r="Y208" s="1"/>
      <c r="Z208" s="1"/>
      <c r="AA208" s="1"/>
    </row>
    <row r="209" ht="12.75" customHeight="1">
      <c r="A209" s="1"/>
      <c r="B209" s="140"/>
      <c r="C209" s="141"/>
      <c r="D209" s="142"/>
      <c r="E209" s="143"/>
      <c r="F209" s="144"/>
      <c r="G209" s="1"/>
      <c r="H209" s="131" t="str">
        <f t="shared" si="4"/>
        <v/>
      </c>
      <c r="I209" s="132" t="str">
        <f>IF(L209&gt;0,NbEch+Différé+1-H209,"")</f>
        <v/>
      </c>
      <c r="J209" s="145" t="str">
        <f t="shared" si="2"/>
        <v/>
      </c>
      <c r="K209" s="146" t="str">
        <f>IF(L209=0,"",IF(Ijour=0,MIN(DATE(YEAR(DebAmort),MONTH(DebAmort)+(H209-1)*Imois,Jour1),DATE(YEAR(DebAmort),MONTH(DebAmort)+1+(H209-1)*Imois,0)),DATE(YEAR(DebAmort),MONTH(DebAmort),Jour1+(H209-1)*Ijour)))</f>
        <v/>
      </c>
      <c r="L209" s="147">
        <f t="shared" si="5"/>
        <v>0</v>
      </c>
      <c r="M209" s="135">
        <f>IF(H209&lt;=NoEchMaxi,ROUND(L209*R209,NbDeci),0)</f>
        <v>0</v>
      </c>
      <c r="N209" s="134">
        <f>IF(OR(H209&lt;=Différé,H209&gt;NoEchMaxi),IF(DiffTotal,-M209,0),IF(H209&gt;=NoEchRemb,L209,IF(S209-(M209*EchFIXE)&gt;L209-2,L209,S209-(M209*EchFIXE))))+C209</f>
        <v>0</v>
      </c>
      <c r="O209" s="136">
        <f>IF(OR(L209=0,H209&gt;NoEchMaxi),0,ROUND(FraisF+FraisV*L209,NbDeci))+F209</f>
        <v>0</v>
      </c>
      <c r="P209" s="148">
        <f t="shared" si="3"/>
        <v>0</v>
      </c>
      <c r="Q209" s="1"/>
      <c r="R209" s="138">
        <f>IF(B209&gt;0,IF(TauxActuariel,((B209+1)^(1/NbEchAn))-1,B209/NbEchAn),R208)</f>
        <v>0.04</v>
      </c>
      <c r="S209" s="139">
        <f>IF(E209&gt;0,E209,IF(D209&gt;0,IF(AND(EchFIXE,R209&gt;0),ROUND((L209-C209)*R209/(1-((1+R209)^-D209)),NbDeci),ROUND(L209/D209,NbDeci)),S208))</f>
        <v>6664</v>
      </c>
      <c r="T209" s="1"/>
      <c r="U209" s="1"/>
      <c r="V209" s="1"/>
      <c r="W209" s="1"/>
      <c r="X209" s="1"/>
      <c r="Y209" s="1"/>
      <c r="Z209" s="1"/>
      <c r="AA209" s="1"/>
    </row>
    <row r="210" ht="12.75" customHeight="1">
      <c r="A210" s="1"/>
      <c r="B210" s="140"/>
      <c r="C210" s="141"/>
      <c r="D210" s="142"/>
      <c r="E210" s="143"/>
      <c r="F210" s="144"/>
      <c r="G210" s="1"/>
      <c r="H210" s="131" t="str">
        <f t="shared" si="4"/>
        <v/>
      </c>
      <c r="I210" s="132" t="str">
        <f>IF(L210&gt;0,NbEch+Différé+1-H210,"")</f>
        <v/>
      </c>
      <c r="J210" s="145" t="str">
        <f t="shared" si="2"/>
        <v/>
      </c>
      <c r="K210" s="146" t="str">
        <f>IF(L210=0,"",IF(Ijour=0,MIN(DATE(YEAR(DebAmort),MONTH(DebAmort)+MoisD+(H210-1)*Imois,Jour2),DATE(YEAR(DebAmort),MONTH(DebAmort)+MoisD+1+(H210-1)*Imois,0)),DATE(YEAR(DebAmort),MONTH(DebAmort),Jour1+(H210-1)*Ijour)))</f>
        <v/>
      </c>
      <c r="L210" s="147">
        <f t="shared" si="5"/>
        <v>0</v>
      </c>
      <c r="M210" s="135">
        <f>IF(H210&lt;=NoEchMaxi,ROUND(L210*R210,NbDeci),0)</f>
        <v>0</v>
      </c>
      <c r="N210" s="134">
        <f>IF(OR(H210&lt;=Différé,H210&gt;NoEchMaxi),IF(DiffTotal,-M210,0),IF(H210&gt;=NoEchRemb,L210,IF(S210-(M210*EchFIXE)&gt;L210-2,L210,S210-(M210*EchFIXE))))+C210</f>
        <v>0</v>
      </c>
      <c r="O210" s="136">
        <f>IF(OR(L210=0,H210&gt;NoEchMaxi),0,ROUND(FraisF+FraisV*L210,NbDeci))+F210</f>
        <v>0</v>
      </c>
      <c r="P210" s="148">
        <f t="shared" si="3"/>
        <v>0</v>
      </c>
      <c r="Q210" s="1"/>
      <c r="R210" s="138">
        <f>IF(B210&gt;0,IF(TauxActuariel,((B210+1)^(1/NbEchAn))-1,B210/NbEchAn),R209)</f>
        <v>0.04</v>
      </c>
      <c r="S210" s="139">
        <f>IF(E210&gt;0,E210,IF(D210&gt;0,IF(AND(EchFIXE,R210&gt;0),ROUND((L210-C210)*R210/(1-((1+R210)^-D210)),NbDeci),ROUND(L210/D210,NbDeci)),S209))</f>
        <v>6664</v>
      </c>
      <c r="T210" s="1"/>
      <c r="U210" s="1"/>
      <c r="V210" s="1"/>
      <c r="W210" s="1"/>
      <c r="X210" s="1"/>
      <c r="Y210" s="1"/>
      <c r="Z210" s="1"/>
      <c r="AA210" s="1"/>
    </row>
    <row r="211" ht="12.75" customHeight="1">
      <c r="A211" s="1"/>
      <c r="B211" s="140"/>
      <c r="C211" s="141"/>
      <c r="D211" s="142"/>
      <c r="E211" s="143"/>
      <c r="F211" s="144"/>
      <c r="G211" s="1"/>
      <c r="H211" s="131" t="str">
        <f t="shared" si="4"/>
        <v/>
      </c>
      <c r="I211" s="132" t="str">
        <f>IF(L211&gt;0,NbEch+Différé+1-H211,"")</f>
        <v/>
      </c>
      <c r="J211" s="145" t="str">
        <f t="shared" si="2"/>
        <v/>
      </c>
      <c r="K211" s="146" t="str">
        <f>IF(L211=0,"",IF(Ijour=0,MIN(DATE(YEAR(DebAmort),MONTH(DebAmort)+(H211-1)*Imois,Jour1),DATE(YEAR(DebAmort),MONTH(DebAmort)+1+(H211-1)*Imois,0)),DATE(YEAR(DebAmort),MONTH(DebAmort),Jour1+(H211-1)*Ijour)))</f>
        <v/>
      </c>
      <c r="L211" s="147">
        <f t="shared" si="5"/>
        <v>0</v>
      </c>
      <c r="M211" s="135">
        <f>IF(H211&lt;=NoEchMaxi,ROUND(L211*R211,NbDeci),0)</f>
        <v>0</v>
      </c>
      <c r="N211" s="134">
        <f>IF(OR(H211&lt;=Différé,H211&gt;NoEchMaxi),IF(DiffTotal,-M211,0),IF(H211&gt;=NoEchRemb,L211,IF(S211-(M211*EchFIXE)&gt;L211-2,L211,S211-(M211*EchFIXE))))+C211</f>
        <v>0</v>
      </c>
      <c r="O211" s="136">
        <f>IF(OR(L211=0,H211&gt;NoEchMaxi),0,ROUND(FraisF+FraisV*L211,NbDeci))+F211</f>
        <v>0</v>
      </c>
      <c r="P211" s="148">
        <f t="shared" si="3"/>
        <v>0</v>
      </c>
      <c r="Q211" s="1"/>
      <c r="R211" s="138">
        <f>IF(B211&gt;0,IF(TauxActuariel,((B211+1)^(1/NbEchAn))-1,B211/NbEchAn),R210)</f>
        <v>0.04</v>
      </c>
      <c r="S211" s="139">
        <f>IF(E211&gt;0,E211,IF(D211&gt;0,IF(AND(EchFIXE,R211&gt;0),ROUND((L211-C211)*R211/(1-((1+R211)^-D211)),NbDeci),ROUND(L211/D211,NbDeci)),S210))</f>
        <v>6664</v>
      </c>
      <c r="T211" s="1"/>
      <c r="U211" s="1"/>
      <c r="V211" s="1"/>
      <c r="W211" s="1"/>
      <c r="X211" s="1"/>
      <c r="Y211" s="1"/>
      <c r="Z211" s="1"/>
      <c r="AA211" s="1"/>
    </row>
    <row r="212" ht="12.75" customHeight="1">
      <c r="A212" s="1"/>
      <c r="B212" s="140"/>
      <c r="C212" s="141"/>
      <c r="D212" s="142"/>
      <c r="E212" s="143"/>
      <c r="F212" s="144"/>
      <c r="G212" s="1"/>
      <c r="H212" s="131" t="str">
        <f t="shared" si="4"/>
        <v/>
      </c>
      <c r="I212" s="132" t="str">
        <f>IF(L212&gt;0,NbEch+Différé+1-H212,"")</f>
        <v/>
      </c>
      <c r="J212" s="145" t="str">
        <f t="shared" si="2"/>
        <v/>
      </c>
      <c r="K212" s="146" t="str">
        <f>IF(L212=0,"",IF(Ijour=0,MIN(DATE(YEAR(DebAmort),MONTH(DebAmort)+MoisD+(H212-1)*Imois,Jour2),DATE(YEAR(DebAmort),MONTH(DebAmort)+MoisD+1+(H212-1)*Imois,0)),DATE(YEAR(DebAmort),MONTH(DebAmort),Jour1+(H212-1)*Ijour)))</f>
        <v/>
      </c>
      <c r="L212" s="147">
        <f t="shared" si="5"/>
        <v>0</v>
      </c>
      <c r="M212" s="135">
        <f>IF(H212&lt;=NoEchMaxi,ROUND(L212*R212,NbDeci),0)</f>
        <v>0</v>
      </c>
      <c r="N212" s="134">
        <f>IF(OR(H212&lt;=Différé,H212&gt;NoEchMaxi),IF(DiffTotal,-M212,0),IF(H212&gt;=NoEchRemb,L212,IF(S212-(M212*EchFIXE)&gt;L212-2,L212,S212-(M212*EchFIXE))))+C212</f>
        <v>0</v>
      </c>
      <c r="O212" s="136">
        <f>IF(OR(L212=0,H212&gt;NoEchMaxi),0,ROUND(FraisF+FraisV*L212,NbDeci))+F212</f>
        <v>0</v>
      </c>
      <c r="P212" s="148">
        <f t="shared" si="3"/>
        <v>0</v>
      </c>
      <c r="Q212" s="1"/>
      <c r="R212" s="138">
        <f>IF(B212&gt;0,IF(TauxActuariel,((B212+1)^(1/NbEchAn))-1,B212/NbEchAn),R211)</f>
        <v>0.04</v>
      </c>
      <c r="S212" s="139">
        <f>IF(E212&gt;0,E212,IF(D212&gt;0,IF(AND(EchFIXE,R212&gt;0),ROUND((L212-C212)*R212/(1-((1+R212)^-D212)),NbDeci),ROUND(L212/D212,NbDeci)),S211))</f>
        <v>6664</v>
      </c>
      <c r="T212" s="1"/>
      <c r="U212" s="1"/>
      <c r="V212" s="1"/>
      <c r="W212" s="1"/>
      <c r="X212" s="1"/>
      <c r="Y212" s="1"/>
      <c r="Z212" s="1"/>
      <c r="AA212" s="1"/>
    </row>
    <row r="213" ht="12.75" customHeight="1">
      <c r="A213" s="1"/>
      <c r="B213" s="140"/>
      <c r="C213" s="141"/>
      <c r="D213" s="142"/>
      <c r="E213" s="143"/>
      <c r="F213" s="144"/>
      <c r="G213" s="1"/>
      <c r="H213" s="131" t="str">
        <f t="shared" si="4"/>
        <v/>
      </c>
      <c r="I213" s="132" t="str">
        <f>IF(L213&gt;0,NbEch+Différé+1-H213,"")</f>
        <v/>
      </c>
      <c r="J213" s="145" t="str">
        <f t="shared" si="2"/>
        <v/>
      </c>
      <c r="K213" s="146" t="str">
        <f>IF(L213=0,"",IF(Ijour=0,MIN(DATE(YEAR(DebAmort),MONTH(DebAmort)+(H213-1)*Imois,Jour1),DATE(YEAR(DebAmort),MONTH(DebAmort)+1+(H213-1)*Imois,0)),DATE(YEAR(DebAmort),MONTH(DebAmort),Jour1+(H213-1)*Ijour)))</f>
        <v/>
      </c>
      <c r="L213" s="147">
        <f t="shared" si="5"/>
        <v>0</v>
      </c>
      <c r="M213" s="135">
        <f>IF(H213&lt;=NoEchMaxi,ROUND(L213*R213,NbDeci),0)</f>
        <v>0</v>
      </c>
      <c r="N213" s="134">
        <f>IF(OR(H213&lt;=Différé,H213&gt;NoEchMaxi),IF(DiffTotal,-M213,0),IF(H213&gt;=NoEchRemb,L213,IF(S213-(M213*EchFIXE)&gt;L213-2,L213,S213-(M213*EchFIXE))))+C213</f>
        <v>0</v>
      </c>
      <c r="O213" s="136">
        <f>IF(OR(L213=0,H213&gt;NoEchMaxi),0,ROUND(FraisF+FraisV*L213,NbDeci))+F213</f>
        <v>0</v>
      </c>
      <c r="P213" s="148">
        <f t="shared" si="3"/>
        <v>0</v>
      </c>
      <c r="Q213" s="1"/>
      <c r="R213" s="138">
        <f>IF(B213&gt;0,IF(TauxActuariel,((B213+1)^(1/NbEchAn))-1,B213/NbEchAn),R212)</f>
        <v>0.04</v>
      </c>
      <c r="S213" s="139">
        <f>IF(E213&gt;0,E213,IF(D213&gt;0,IF(AND(EchFIXE,R213&gt;0),ROUND((L213-C213)*R213/(1-((1+R213)^-D213)),NbDeci),ROUND(L213/D213,NbDeci)),S212))</f>
        <v>6664</v>
      </c>
      <c r="T213" s="1"/>
      <c r="U213" s="1"/>
      <c r="V213" s="1"/>
      <c r="W213" s="1"/>
      <c r="X213" s="1"/>
      <c r="Y213" s="1"/>
      <c r="Z213" s="1"/>
      <c r="AA213" s="1"/>
    </row>
    <row r="214" ht="12.75" customHeight="1">
      <c r="A214" s="1"/>
      <c r="B214" s="140"/>
      <c r="C214" s="141"/>
      <c r="D214" s="142"/>
      <c r="E214" s="143"/>
      <c r="F214" s="144"/>
      <c r="G214" s="1"/>
      <c r="H214" s="131" t="str">
        <f t="shared" si="4"/>
        <v/>
      </c>
      <c r="I214" s="132" t="str">
        <f>IF(L214&gt;0,NbEch+Différé+1-H214,"")</f>
        <v/>
      </c>
      <c r="J214" s="145" t="str">
        <f t="shared" si="2"/>
        <v/>
      </c>
      <c r="K214" s="146" t="str">
        <f>IF(L214=0,"",IF(Ijour=0,MIN(DATE(YEAR(DebAmort),MONTH(DebAmort)+MoisD+(H214-1)*Imois,Jour2),DATE(YEAR(DebAmort),MONTH(DebAmort)+MoisD+1+(H214-1)*Imois,0)),DATE(YEAR(DebAmort),MONTH(DebAmort),Jour1+(H214-1)*Ijour)))</f>
        <v/>
      </c>
      <c r="L214" s="147">
        <f t="shared" si="5"/>
        <v>0</v>
      </c>
      <c r="M214" s="135">
        <f>IF(H214&lt;=NoEchMaxi,ROUND(L214*R214,NbDeci),0)</f>
        <v>0</v>
      </c>
      <c r="N214" s="134">
        <f>IF(OR(H214&lt;=Différé,H214&gt;NoEchMaxi),IF(DiffTotal,-M214,0),IF(H214&gt;=NoEchRemb,L214,IF(S214-(M214*EchFIXE)&gt;L214-2,L214,S214-(M214*EchFIXE))))+C214</f>
        <v>0</v>
      </c>
      <c r="O214" s="136">
        <f>IF(OR(L214=0,H214&gt;NoEchMaxi),0,ROUND(FraisF+FraisV*L214,NbDeci))+F214</f>
        <v>0</v>
      </c>
      <c r="P214" s="148">
        <f t="shared" si="3"/>
        <v>0</v>
      </c>
      <c r="Q214" s="1"/>
      <c r="R214" s="138">
        <f>IF(B214&gt;0,IF(TauxActuariel,((B214+1)^(1/NbEchAn))-1,B214/NbEchAn),R213)</f>
        <v>0.04</v>
      </c>
      <c r="S214" s="139">
        <f>IF(E214&gt;0,E214,IF(D214&gt;0,IF(AND(EchFIXE,R214&gt;0),ROUND((L214-C214)*R214/(1-((1+R214)^-D214)),NbDeci),ROUND(L214/D214,NbDeci)),S213))</f>
        <v>6664</v>
      </c>
      <c r="T214" s="1"/>
      <c r="U214" s="1"/>
      <c r="V214" s="1"/>
      <c r="W214" s="1"/>
      <c r="X214" s="1"/>
      <c r="Y214" s="1"/>
      <c r="Z214" s="1"/>
      <c r="AA214" s="1"/>
    </row>
    <row r="215" ht="12.75" customHeight="1">
      <c r="A215" s="1"/>
      <c r="B215" s="140"/>
      <c r="C215" s="141"/>
      <c r="D215" s="142"/>
      <c r="E215" s="143"/>
      <c r="F215" s="144"/>
      <c r="G215" s="1"/>
      <c r="H215" s="131" t="str">
        <f t="shared" si="4"/>
        <v/>
      </c>
      <c r="I215" s="132" t="str">
        <f>IF(L215&gt;0,NbEch+Différé+1-H215,"")</f>
        <v/>
      </c>
      <c r="J215" s="145" t="str">
        <f t="shared" si="2"/>
        <v/>
      </c>
      <c r="K215" s="146" t="str">
        <f>IF(L215=0,"",IF(Ijour=0,MIN(DATE(YEAR(DebAmort),MONTH(DebAmort)+(H215-1)*Imois,Jour1),DATE(YEAR(DebAmort),MONTH(DebAmort)+1+(H215-1)*Imois,0)),DATE(YEAR(DebAmort),MONTH(DebAmort),Jour1+(H215-1)*Ijour)))</f>
        <v/>
      </c>
      <c r="L215" s="147">
        <f t="shared" si="5"/>
        <v>0</v>
      </c>
      <c r="M215" s="135">
        <f>IF(H215&lt;=NoEchMaxi,ROUND(L215*R215,NbDeci),0)</f>
        <v>0</v>
      </c>
      <c r="N215" s="134">
        <f>IF(OR(H215&lt;=Différé,H215&gt;NoEchMaxi),IF(DiffTotal,-M215,0),IF(H215&gt;=NoEchRemb,L215,IF(S215-(M215*EchFIXE)&gt;L215-2,L215,S215-(M215*EchFIXE))))+C215</f>
        <v>0</v>
      </c>
      <c r="O215" s="136">
        <f>IF(OR(L215=0,H215&gt;NoEchMaxi),0,ROUND(FraisF+FraisV*L215,NbDeci))+F215</f>
        <v>0</v>
      </c>
      <c r="P215" s="148">
        <f t="shared" si="3"/>
        <v>0</v>
      </c>
      <c r="Q215" s="1"/>
      <c r="R215" s="138">
        <f>IF(B215&gt;0,IF(TauxActuariel,((B215+1)^(1/NbEchAn))-1,B215/NbEchAn),R214)</f>
        <v>0.04</v>
      </c>
      <c r="S215" s="139">
        <f>IF(E215&gt;0,E215,IF(D215&gt;0,IF(AND(EchFIXE,R215&gt;0),ROUND((L215-C215)*R215/(1-((1+R215)^-D215)),NbDeci),ROUND(L215/D215,NbDeci)),S214))</f>
        <v>6664</v>
      </c>
      <c r="T215" s="1"/>
      <c r="U215" s="1"/>
      <c r="V215" s="1"/>
      <c r="W215" s="1"/>
      <c r="X215" s="1"/>
      <c r="Y215" s="1"/>
      <c r="Z215" s="1"/>
      <c r="AA215" s="1"/>
    </row>
    <row r="216" ht="12.75" customHeight="1">
      <c r="A216" s="1"/>
      <c r="B216" s="140"/>
      <c r="C216" s="141"/>
      <c r="D216" s="142"/>
      <c r="E216" s="143"/>
      <c r="F216" s="144"/>
      <c r="G216" s="1"/>
      <c r="H216" s="131" t="str">
        <f t="shared" si="4"/>
        <v/>
      </c>
      <c r="I216" s="132" t="str">
        <f>IF(L216&gt;0,NbEch+Différé+1-H216,"")</f>
        <v/>
      </c>
      <c r="J216" s="145" t="str">
        <f t="shared" si="2"/>
        <v/>
      </c>
      <c r="K216" s="146" t="str">
        <f>IF(L216=0,"",IF(Ijour=0,MIN(DATE(YEAR(DebAmort),MONTH(DebAmort)+MoisD+(H216-1)*Imois,Jour2),DATE(YEAR(DebAmort),MONTH(DebAmort)+MoisD+1+(H216-1)*Imois,0)),DATE(YEAR(DebAmort),MONTH(DebAmort),Jour1+(H216-1)*Ijour)))</f>
        <v/>
      </c>
      <c r="L216" s="147">
        <f t="shared" si="5"/>
        <v>0</v>
      </c>
      <c r="M216" s="135">
        <f>IF(H216&lt;=NoEchMaxi,ROUND(L216*R216,NbDeci),0)</f>
        <v>0</v>
      </c>
      <c r="N216" s="134">
        <f>IF(OR(H216&lt;=Différé,H216&gt;NoEchMaxi),IF(DiffTotal,-M216,0),IF(H216&gt;=NoEchRemb,L216,IF(S216-(M216*EchFIXE)&gt;L216-2,L216,S216-(M216*EchFIXE))))+C216</f>
        <v>0</v>
      </c>
      <c r="O216" s="136">
        <f>IF(OR(L216=0,H216&gt;NoEchMaxi),0,ROUND(FraisF+FraisV*L216,NbDeci))+F216</f>
        <v>0</v>
      </c>
      <c r="P216" s="148">
        <f t="shared" si="3"/>
        <v>0</v>
      </c>
      <c r="Q216" s="1"/>
      <c r="R216" s="138">
        <f>IF(B216&gt;0,IF(TauxActuariel,((B216+1)^(1/NbEchAn))-1,B216/NbEchAn),R215)</f>
        <v>0.04</v>
      </c>
      <c r="S216" s="139">
        <f>IF(E216&gt;0,E216,IF(D216&gt;0,IF(AND(EchFIXE,R216&gt;0),ROUND((L216-C216)*R216/(1-((1+R216)^-D216)),NbDeci),ROUND(L216/D216,NbDeci)),S215))</f>
        <v>6664</v>
      </c>
      <c r="T216" s="1"/>
      <c r="U216" s="1"/>
      <c r="V216" s="1"/>
      <c r="W216" s="1"/>
      <c r="X216" s="1"/>
      <c r="Y216" s="1"/>
      <c r="Z216" s="1"/>
      <c r="AA216" s="1"/>
    </row>
    <row r="217" ht="12.75" customHeight="1">
      <c r="A217" s="1"/>
      <c r="B217" s="140"/>
      <c r="C217" s="141"/>
      <c r="D217" s="142"/>
      <c r="E217" s="143"/>
      <c r="F217" s="144"/>
      <c r="G217" s="1"/>
      <c r="H217" s="131" t="str">
        <f t="shared" si="4"/>
        <v/>
      </c>
      <c r="I217" s="132" t="str">
        <f>IF(L217&gt;0,NbEch+Différé+1-H217,"")</f>
        <v/>
      </c>
      <c r="J217" s="145" t="str">
        <f t="shared" si="2"/>
        <v/>
      </c>
      <c r="K217" s="146" t="str">
        <f>IF(L217=0,"",IF(Ijour=0,MIN(DATE(YEAR(DebAmort),MONTH(DebAmort)+(H217-1)*Imois,Jour1),DATE(YEAR(DebAmort),MONTH(DebAmort)+1+(H217-1)*Imois,0)),DATE(YEAR(DebAmort),MONTH(DebAmort),Jour1+(H217-1)*Ijour)))</f>
        <v/>
      </c>
      <c r="L217" s="147">
        <f t="shared" si="5"/>
        <v>0</v>
      </c>
      <c r="M217" s="135">
        <f>IF(H217&lt;=NoEchMaxi,ROUND(L217*R217,NbDeci),0)</f>
        <v>0</v>
      </c>
      <c r="N217" s="134">
        <f>IF(OR(H217&lt;=Différé,H217&gt;NoEchMaxi),IF(DiffTotal,-M217,0),IF(H217&gt;=NoEchRemb,L217,IF(S217-(M217*EchFIXE)&gt;L217-2,L217,S217-(M217*EchFIXE))))+C217</f>
        <v>0</v>
      </c>
      <c r="O217" s="136">
        <f>IF(OR(L217=0,H217&gt;NoEchMaxi),0,ROUND(FraisF+FraisV*L217,NbDeci))+F217</f>
        <v>0</v>
      </c>
      <c r="P217" s="148">
        <f t="shared" si="3"/>
        <v>0</v>
      </c>
      <c r="Q217" s="1"/>
      <c r="R217" s="138">
        <f>IF(B217&gt;0,IF(TauxActuariel,((B217+1)^(1/NbEchAn))-1,B217/NbEchAn),R216)</f>
        <v>0.04</v>
      </c>
      <c r="S217" s="139">
        <f>IF(E217&gt;0,E217,IF(D217&gt;0,IF(AND(EchFIXE,R217&gt;0),ROUND((L217-C217)*R217/(1-((1+R217)^-D217)),NbDeci),ROUND(L217/D217,NbDeci)),S216))</f>
        <v>6664</v>
      </c>
      <c r="T217" s="1"/>
      <c r="U217" s="1"/>
      <c r="V217" s="1"/>
      <c r="W217" s="1"/>
      <c r="X217" s="1"/>
      <c r="Y217" s="1"/>
      <c r="Z217" s="1"/>
      <c r="AA217" s="1"/>
    </row>
    <row r="218" ht="12.75" customHeight="1">
      <c r="A218" s="1"/>
      <c r="B218" s="140"/>
      <c r="C218" s="141"/>
      <c r="D218" s="142"/>
      <c r="E218" s="143"/>
      <c r="F218" s="144"/>
      <c r="G218" s="1"/>
      <c r="H218" s="131" t="str">
        <f t="shared" si="4"/>
        <v/>
      </c>
      <c r="I218" s="132" t="str">
        <f>IF(L218&gt;0,NbEch+Différé+1-H218,"")</f>
        <v/>
      </c>
      <c r="J218" s="145" t="str">
        <f t="shared" si="2"/>
        <v/>
      </c>
      <c r="K218" s="146" t="str">
        <f>IF(L218=0,"",IF(Ijour=0,MIN(DATE(YEAR(DebAmort),MONTH(DebAmort)+MoisD+(H218-1)*Imois,Jour2),DATE(YEAR(DebAmort),MONTH(DebAmort)+MoisD+1+(H218-1)*Imois,0)),DATE(YEAR(DebAmort),MONTH(DebAmort),Jour1+(H218-1)*Ijour)))</f>
        <v/>
      </c>
      <c r="L218" s="147">
        <f t="shared" si="5"/>
        <v>0</v>
      </c>
      <c r="M218" s="135">
        <f>IF(H218&lt;=NoEchMaxi,ROUND(L218*R218,NbDeci),0)</f>
        <v>0</v>
      </c>
      <c r="N218" s="134">
        <f>IF(OR(H218&lt;=Différé,H218&gt;NoEchMaxi),IF(DiffTotal,-M218,0),IF(H218&gt;=NoEchRemb,L218,IF(S218-(M218*EchFIXE)&gt;L218-2,L218,S218-(M218*EchFIXE))))+C218</f>
        <v>0</v>
      </c>
      <c r="O218" s="136">
        <f>IF(OR(L218=0,H218&gt;NoEchMaxi),0,ROUND(FraisF+FraisV*L218,NbDeci))+F218</f>
        <v>0</v>
      </c>
      <c r="P218" s="148">
        <f t="shared" si="3"/>
        <v>0</v>
      </c>
      <c r="Q218" s="1"/>
      <c r="R218" s="138">
        <f>IF(B218&gt;0,IF(TauxActuariel,((B218+1)^(1/NbEchAn))-1,B218/NbEchAn),R217)</f>
        <v>0.04</v>
      </c>
      <c r="S218" s="139">
        <f>IF(E218&gt;0,E218,IF(D218&gt;0,IF(AND(EchFIXE,R218&gt;0),ROUND((L218-C218)*R218/(1-((1+R218)^-D218)),NbDeci),ROUND(L218/D218,NbDeci)),S217))</f>
        <v>6664</v>
      </c>
      <c r="T218" s="1"/>
      <c r="U218" s="1"/>
      <c r="V218" s="1"/>
      <c r="W218" s="1"/>
      <c r="X218" s="1"/>
      <c r="Y218" s="1"/>
      <c r="Z218" s="1"/>
      <c r="AA218" s="1"/>
    </row>
    <row r="219" ht="12.75" customHeight="1">
      <c r="A219" s="1"/>
      <c r="B219" s="140"/>
      <c r="C219" s="141"/>
      <c r="D219" s="142"/>
      <c r="E219" s="143"/>
      <c r="F219" s="144"/>
      <c r="G219" s="1"/>
      <c r="H219" s="131" t="str">
        <f t="shared" si="4"/>
        <v/>
      </c>
      <c r="I219" s="132" t="str">
        <f>IF(L219&gt;0,NbEch+Différé+1-H219,"")</f>
        <v/>
      </c>
      <c r="J219" s="145" t="str">
        <f t="shared" si="2"/>
        <v/>
      </c>
      <c r="K219" s="146" t="str">
        <f>IF(L219=0,"",IF(Ijour=0,MIN(DATE(YEAR(DebAmort),MONTH(DebAmort)+(H219-1)*Imois,Jour1),DATE(YEAR(DebAmort),MONTH(DebAmort)+1+(H219-1)*Imois,0)),DATE(YEAR(DebAmort),MONTH(DebAmort),Jour1+(H219-1)*Ijour)))</f>
        <v/>
      </c>
      <c r="L219" s="147">
        <f t="shared" si="5"/>
        <v>0</v>
      </c>
      <c r="M219" s="135">
        <f>IF(H219&lt;=NoEchMaxi,ROUND(L219*R219,NbDeci),0)</f>
        <v>0</v>
      </c>
      <c r="N219" s="134">
        <f>IF(OR(H219&lt;=Différé,H219&gt;NoEchMaxi),IF(DiffTotal,-M219,0),IF(H219&gt;=NoEchRemb,L219,IF(S219-(M219*EchFIXE)&gt;L219-2,L219,S219-(M219*EchFIXE))))+C219</f>
        <v>0</v>
      </c>
      <c r="O219" s="136">
        <f>IF(OR(L219=0,H219&gt;NoEchMaxi),0,ROUND(FraisF+FraisV*L219,NbDeci))+F219</f>
        <v>0</v>
      </c>
      <c r="P219" s="148">
        <f t="shared" si="3"/>
        <v>0</v>
      </c>
      <c r="Q219" s="1"/>
      <c r="R219" s="138">
        <f>IF(B219&gt;0,IF(TauxActuariel,((B219+1)^(1/NbEchAn))-1,B219/NbEchAn),R218)</f>
        <v>0.04</v>
      </c>
      <c r="S219" s="139">
        <f>IF(E219&gt;0,E219,IF(D219&gt;0,IF(AND(EchFIXE,R219&gt;0),ROUND((L219-C219)*R219/(1-((1+R219)^-D219)),NbDeci),ROUND(L219/D219,NbDeci)),S218))</f>
        <v>6664</v>
      </c>
      <c r="T219" s="1"/>
      <c r="U219" s="1"/>
      <c r="V219" s="1"/>
      <c r="W219" s="1"/>
      <c r="X219" s="1"/>
      <c r="Y219" s="1"/>
      <c r="Z219" s="1"/>
      <c r="AA219" s="1"/>
    </row>
    <row r="220" ht="12.75" customHeight="1">
      <c r="A220" s="1"/>
      <c r="B220" s="140"/>
      <c r="C220" s="141"/>
      <c r="D220" s="142"/>
      <c r="E220" s="143"/>
      <c r="F220" s="144"/>
      <c r="G220" s="1"/>
      <c r="H220" s="131" t="str">
        <f t="shared" si="4"/>
        <v/>
      </c>
      <c r="I220" s="132" t="str">
        <f>IF(L220&gt;0,NbEch+Différé+1-H220,"")</f>
        <v/>
      </c>
      <c r="J220" s="145" t="str">
        <f t="shared" si="2"/>
        <v/>
      </c>
      <c r="K220" s="146" t="str">
        <f>IF(L220=0,"",IF(Ijour=0,MIN(DATE(YEAR(DebAmort),MONTH(DebAmort)+MoisD+(H220-1)*Imois,Jour2),DATE(YEAR(DebAmort),MONTH(DebAmort)+MoisD+1+(H220-1)*Imois,0)),DATE(YEAR(DebAmort),MONTH(DebAmort),Jour1+(H220-1)*Ijour)))</f>
        <v/>
      </c>
      <c r="L220" s="147">
        <f t="shared" si="5"/>
        <v>0</v>
      </c>
      <c r="M220" s="135">
        <f>IF(H220&lt;=NoEchMaxi,ROUND(L220*R220,NbDeci),0)</f>
        <v>0</v>
      </c>
      <c r="N220" s="134">
        <f>IF(OR(H220&lt;=Différé,H220&gt;NoEchMaxi),IF(DiffTotal,-M220,0),IF(H220&gt;=NoEchRemb,L220,IF(S220-(M220*EchFIXE)&gt;L220-2,L220,S220-(M220*EchFIXE))))+C220</f>
        <v>0</v>
      </c>
      <c r="O220" s="136">
        <f>IF(OR(L220=0,H220&gt;NoEchMaxi),0,ROUND(FraisF+FraisV*L220,NbDeci))+F220</f>
        <v>0</v>
      </c>
      <c r="P220" s="148">
        <f t="shared" si="3"/>
        <v>0</v>
      </c>
      <c r="Q220" s="1"/>
      <c r="R220" s="138">
        <f>IF(B220&gt;0,IF(TauxActuariel,((B220+1)^(1/NbEchAn))-1,B220/NbEchAn),R219)</f>
        <v>0.04</v>
      </c>
      <c r="S220" s="139">
        <f>IF(E220&gt;0,E220,IF(D220&gt;0,IF(AND(EchFIXE,R220&gt;0),ROUND((L220-C220)*R220/(1-((1+R220)^-D220)),NbDeci),ROUND(L220/D220,NbDeci)),S219))</f>
        <v>6664</v>
      </c>
      <c r="T220" s="1"/>
      <c r="U220" s="1"/>
      <c r="V220" s="1"/>
      <c r="W220" s="1"/>
      <c r="X220" s="1"/>
      <c r="Y220" s="1"/>
      <c r="Z220" s="1"/>
      <c r="AA220" s="1"/>
    </row>
    <row r="221" ht="12.75" customHeight="1">
      <c r="A221" s="1"/>
      <c r="B221" s="140"/>
      <c r="C221" s="141"/>
      <c r="D221" s="142"/>
      <c r="E221" s="143"/>
      <c r="F221" s="144"/>
      <c r="G221" s="1"/>
      <c r="H221" s="131" t="str">
        <f t="shared" si="4"/>
        <v/>
      </c>
      <c r="I221" s="132" t="str">
        <f>IF(L221&gt;0,NbEch+Différé+1-H221,"")</f>
        <v/>
      </c>
      <c r="J221" s="145" t="str">
        <f t="shared" si="2"/>
        <v/>
      </c>
      <c r="K221" s="146" t="str">
        <f>IF(L221=0,"",IF(Ijour=0,MIN(DATE(YEAR(DebAmort),MONTH(DebAmort)+(H221-1)*Imois,Jour1),DATE(YEAR(DebAmort),MONTH(DebAmort)+1+(H221-1)*Imois,0)),DATE(YEAR(DebAmort),MONTH(DebAmort),Jour1+(H221-1)*Ijour)))</f>
        <v/>
      </c>
      <c r="L221" s="147">
        <f t="shared" si="5"/>
        <v>0</v>
      </c>
      <c r="M221" s="135">
        <f>IF(H221&lt;=NoEchMaxi,ROUND(L221*R221,NbDeci),0)</f>
        <v>0</v>
      </c>
      <c r="N221" s="134">
        <f>IF(OR(H221&lt;=Différé,H221&gt;NoEchMaxi),IF(DiffTotal,-M221,0),IF(H221&gt;=NoEchRemb,L221,IF(S221-(M221*EchFIXE)&gt;L221-2,L221,S221-(M221*EchFIXE))))+C221</f>
        <v>0</v>
      </c>
      <c r="O221" s="136">
        <f>IF(OR(L221=0,H221&gt;NoEchMaxi),0,ROUND(FraisF+FraisV*L221,NbDeci))+F221</f>
        <v>0</v>
      </c>
      <c r="P221" s="148">
        <f t="shared" si="3"/>
        <v>0</v>
      </c>
      <c r="Q221" s="1"/>
      <c r="R221" s="138">
        <f>IF(B221&gt;0,IF(TauxActuariel,((B221+1)^(1/NbEchAn))-1,B221/NbEchAn),R220)</f>
        <v>0.04</v>
      </c>
      <c r="S221" s="139">
        <f>IF(E221&gt;0,E221,IF(D221&gt;0,IF(AND(EchFIXE,R221&gt;0),ROUND((L221-C221)*R221/(1-((1+R221)^-D221)),NbDeci),ROUND(L221/D221,NbDeci)),S220))</f>
        <v>6664</v>
      </c>
      <c r="T221" s="1"/>
      <c r="U221" s="1"/>
      <c r="V221" s="1"/>
      <c r="W221" s="1"/>
      <c r="X221" s="1"/>
      <c r="Y221" s="1"/>
      <c r="Z221" s="1"/>
      <c r="AA221" s="1"/>
    </row>
    <row r="222" ht="12.75" customHeight="1">
      <c r="A222" s="1"/>
      <c r="B222" s="140"/>
      <c r="C222" s="141"/>
      <c r="D222" s="142"/>
      <c r="E222" s="143"/>
      <c r="F222" s="144"/>
      <c r="G222" s="1"/>
      <c r="H222" s="131" t="str">
        <f t="shared" si="4"/>
        <v/>
      </c>
      <c r="I222" s="132" t="str">
        <f>IF(L222&gt;0,NbEch+Différé+1-H222,"")</f>
        <v/>
      </c>
      <c r="J222" s="145" t="str">
        <f t="shared" si="2"/>
        <v/>
      </c>
      <c r="K222" s="146" t="str">
        <f>IF(L222=0,"",IF(Ijour=0,MIN(DATE(YEAR(DebAmort),MONTH(DebAmort)+MoisD+(H222-1)*Imois,Jour2),DATE(YEAR(DebAmort),MONTH(DebAmort)+MoisD+1+(H222-1)*Imois,0)),DATE(YEAR(DebAmort),MONTH(DebAmort),Jour1+(H222-1)*Ijour)))</f>
        <v/>
      </c>
      <c r="L222" s="147">
        <f t="shared" si="5"/>
        <v>0</v>
      </c>
      <c r="M222" s="135">
        <f>IF(H222&lt;=NoEchMaxi,ROUND(L222*R222,NbDeci),0)</f>
        <v>0</v>
      </c>
      <c r="N222" s="134">
        <f>IF(OR(H222&lt;=Différé,H222&gt;NoEchMaxi),IF(DiffTotal,-M222,0),IF(H222&gt;=NoEchRemb,L222,IF(S222-(M222*EchFIXE)&gt;L222-2,L222,S222-(M222*EchFIXE))))+C222</f>
        <v>0</v>
      </c>
      <c r="O222" s="136">
        <f>IF(OR(L222=0,H222&gt;NoEchMaxi),0,ROUND(FraisF+FraisV*L222,NbDeci))+F222</f>
        <v>0</v>
      </c>
      <c r="P222" s="148">
        <f t="shared" si="3"/>
        <v>0</v>
      </c>
      <c r="Q222" s="1"/>
      <c r="R222" s="138">
        <f>IF(B222&gt;0,IF(TauxActuariel,((B222+1)^(1/NbEchAn))-1,B222/NbEchAn),R221)</f>
        <v>0.04</v>
      </c>
      <c r="S222" s="139">
        <f>IF(E222&gt;0,E222,IF(D222&gt;0,IF(AND(EchFIXE,R222&gt;0),ROUND((L222-C222)*R222/(1-((1+R222)^-D222)),NbDeci),ROUND(L222/D222,NbDeci)),S221))</f>
        <v>6664</v>
      </c>
      <c r="T222" s="1"/>
      <c r="U222" s="1"/>
      <c r="V222" s="1"/>
      <c r="W222" s="1"/>
      <c r="X222" s="1"/>
      <c r="Y222" s="1"/>
      <c r="Z222" s="1"/>
      <c r="AA222" s="1"/>
    </row>
    <row r="223" ht="12.75" customHeight="1">
      <c r="A223" s="1"/>
      <c r="B223" s="140"/>
      <c r="C223" s="141"/>
      <c r="D223" s="142"/>
      <c r="E223" s="143"/>
      <c r="F223" s="144"/>
      <c r="G223" s="1"/>
      <c r="H223" s="131" t="str">
        <f t="shared" si="4"/>
        <v/>
      </c>
      <c r="I223" s="132" t="str">
        <f>IF(L223&gt;0,NbEch+Différé+1-H223,"")</f>
        <v/>
      </c>
      <c r="J223" s="145" t="str">
        <f t="shared" si="2"/>
        <v/>
      </c>
      <c r="K223" s="146" t="str">
        <f>IF(L223=0,"",IF(Ijour=0,MIN(DATE(YEAR(DebAmort),MONTH(DebAmort)+(H223-1)*Imois,Jour1),DATE(YEAR(DebAmort),MONTH(DebAmort)+1+(H223-1)*Imois,0)),DATE(YEAR(DebAmort),MONTH(DebAmort),Jour1+(H223-1)*Ijour)))</f>
        <v/>
      </c>
      <c r="L223" s="147">
        <f t="shared" si="5"/>
        <v>0</v>
      </c>
      <c r="M223" s="135">
        <f>IF(H223&lt;=NoEchMaxi,ROUND(L223*R223,NbDeci),0)</f>
        <v>0</v>
      </c>
      <c r="N223" s="134">
        <f>IF(OR(H223&lt;=Différé,H223&gt;NoEchMaxi),IF(DiffTotal,-M223,0),IF(H223&gt;=NoEchRemb,L223,IF(S223-(M223*EchFIXE)&gt;L223-2,L223,S223-(M223*EchFIXE))))+C223</f>
        <v>0</v>
      </c>
      <c r="O223" s="136">
        <f>IF(OR(L223=0,H223&gt;NoEchMaxi),0,ROUND(FraisF+FraisV*L223,NbDeci))+F223</f>
        <v>0</v>
      </c>
      <c r="P223" s="148">
        <f t="shared" si="3"/>
        <v>0</v>
      </c>
      <c r="Q223" s="1"/>
      <c r="R223" s="138">
        <f>IF(B223&gt;0,IF(TauxActuariel,((B223+1)^(1/NbEchAn))-1,B223/NbEchAn),R222)</f>
        <v>0.04</v>
      </c>
      <c r="S223" s="139">
        <f>IF(E223&gt;0,E223,IF(D223&gt;0,IF(AND(EchFIXE,R223&gt;0),ROUND((L223-C223)*R223/(1-((1+R223)^-D223)),NbDeci),ROUND(L223/D223,NbDeci)),S222))</f>
        <v>6664</v>
      </c>
      <c r="T223" s="1"/>
      <c r="U223" s="1"/>
      <c r="V223" s="1"/>
      <c r="W223" s="1"/>
      <c r="X223" s="1"/>
      <c r="Y223" s="1"/>
      <c r="Z223" s="1"/>
      <c r="AA223" s="1"/>
    </row>
    <row r="224" ht="12.75" customHeight="1">
      <c r="A224" s="1"/>
      <c r="B224" s="140"/>
      <c r="C224" s="141"/>
      <c r="D224" s="142"/>
      <c r="E224" s="143"/>
      <c r="F224" s="144"/>
      <c r="G224" s="1"/>
      <c r="H224" s="131" t="str">
        <f t="shared" si="4"/>
        <v/>
      </c>
      <c r="I224" s="132" t="str">
        <f>IF(L224&gt;0,NbEch+Différé+1-H224,"")</f>
        <v/>
      </c>
      <c r="J224" s="145" t="str">
        <f t="shared" si="2"/>
        <v/>
      </c>
      <c r="K224" s="146" t="str">
        <f>IF(L224=0,"",IF(Ijour=0,MIN(DATE(YEAR(DebAmort),MONTH(DebAmort)+MoisD+(H224-1)*Imois,Jour2),DATE(YEAR(DebAmort),MONTH(DebAmort)+MoisD+1+(H224-1)*Imois,0)),DATE(YEAR(DebAmort),MONTH(DebAmort),Jour1+(H224-1)*Ijour)))</f>
        <v/>
      </c>
      <c r="L224" s="147">
        <f t="shared" si="5"/>
        <v>0</v>
      </c>
      <c r="M224" s="135">
        <f>IF(H224&lt;=NoEchMaxi,ROUND(L224*R224,NbDeci),0)</f>
        <v>0</v>
      </c>
      <c r="N224" s="134">
        <f>IF(OR(H224&lt;=Différé,H224&gt;NoEchMaxi),IF(DiffTotal,-M224,0),IF(H224&gt;=NoEchRemb,L224,IF(S224-(M224*EchFIXE)&gt;L224-2,L224,S224-(M224*EchFIXE))))+C224</f>
        <v>0</v>
      </c>
      <c r="O224" s="136">
        <f>IF(OR(L224=0,H224&gt;NoEchMaxi),0,ROUND(FraisF+FraisV*L224,NbDeci))+F224</f>
        <v>0</v>
      </c>
      <c r="P224" s="148">
        <f t="shared" si="3"/>
        <v>0</v>
      </c>
      <c r="Q224" s="1"/>
      <c r="R224" s="138">
        <f>IF(B224&gt;0,IF(TauxActuariel,((B224+1)^(1/NbEchAn))-1,B224/NbEchAn),R223)</f>
        <v>0.04</v>
      </c>
      <c r="S224" s="139">
        <f>IF(E224&gt;0,E224,IF(D224&gt;0,IF(AND(EchFIXE,R224&gt;0),ROUND((L224-C224)*R224/(1-((1+R224)^-D224)),NbDeci),ROUND(L224/D224,NbDeci)),S223))</f>
        <v>6664</v>
      </c>
      <c r="T224" s="1"/>
      <c r="U224" s="1"/>
      <c r="V224" s="1"/>
      <c r="W224" s="1"/>
      <c r="X224" s="1"/>
      <c r="Y224" s="1"/>
      <c r="Z224" s="1"/>
      <c r="AA224" s="1"/>
    </row>
    <row r="225" ht="12.75" customHeight="1">
      <c r="A225" s="1"/>
      <c r="B225" s="140"/>
      <c r="C225" s="141"/>
      <c r="D225" s="142"/>
      <c r="E225" s="143"/>
      <c r="F225" s="144"/>
      <c r="G225" s="1"/>
      <c r="H225" s="131" t="str">
        <f t="shared" si="4"/>
        <v/>
      </c>
      <c r="I225" s="132" t="str">
        <f>IF(L225&gt;0,NbEch+Différé+1-H225,"")</f>
        <v/>
      </c>
      <c r="J225" s="145" t="str">
        <f t="shared" si="2"/>
        <v/>
      </c>
      <c r="K225" s="146" t="str">
        <f>IF(L225=0,"",IF(Ijour=0,MIN(DATE(YEAR(DebAmort),MONTH(DebAmort)+(H225-1)*Imois,Jour1),DATE(YEAR(DebAmort),MONTH(DebAmort)+1+(H225-1)*Imois,0)),DATE(YEAR(DebAmort),MONTH(DebAmort),Jour1+(H225-1)*Ijour)))</f>
        <v/>
      </c>
      <c r="L225" s="147">
        <f t="shared" si="5"/>
        <v>0</v>
      </c>
      <c r="M225" s="135">
        <f>IF(H225&lt;=NoEchMaxi,ROUND(L225*R225,NbDeci),0)</f>
        <v>0</v>
      </c>
      <c r="N225" s="134">
        <f>IF(OR(H225&lt;=Différé,H225&gt;NoEchMaxi),IF(DiffTotal,-M225,0),IF(H225&gt;=NoEchRemb,L225,IF(S225-(M225*EchFIXE)&gt;L225-2,L225,S225-(M225*EchFIXE))))+C225</f>
        <v>0</v>
      </c>
      <c r="O225" s="136">
        <f>IF(OR(L225=0,H225&gt;NoEchMaxi),0,ROUND(FraisF+FraisV*L225,NbDeci))+F225</f>
        <v>0</v>
      </c>
      <c r="P225" s="148">
        <f t="shared" si="3"/>
        <v>0</v>
      </c>
      <c r="Q225" s="1"/>
      <c r="R225" s="138">
        <f>IF(B225&gt;0,IF(TauxActuariel,((B225+1)^(1/NbEchAn))-1,B225/NbEchAn),R224)</f>
        <v>0.04</v>
      </c>
      <c r="S225" s="139">
        <f>IF(E225&gt;0,E225,IF(D225&gt;0,IF(AND(EchFIXE,R225&gt;0),ROUND((L225-C225)*R225/(1-((1+R225)^-D225)),NbDeci),ROUND(L225/D225,NbDeci)),S224))</f>
        <v>6664</v>
      </c>
      <c r="T225" s="1"/>
      <c r="U225" s="1"/>
      <c r="V225" s="1"/>
      <c r="W225" s="1"/>
      <c r="X225" s="1"/>
      <c r="Y225" s="1"/>
      <c r="Z225" s="1"/>
      <c r="AA225" s="1"/>
    </row>
    <row r="226" ht="12.75" customHeight="1">
      <c r="A226" s="1"/>
      <c r="B226" s="140"/>
      <c r="C226" s="141"/>
      <c r="D226" s="142"/>
      <c r="E226" s="143"/>
      <c r="F226" s="144"/>
      <c r="G226" s="1"/>
      <c r="H226" s="131" t="str">
        <f t="shared" si="4"/>
        <v/>
      </c>
      <c r="I226" s="132" t="str">
        <f>IF(L226&gt;0,NbEch+Différé+1-H226,"")</f>
        <v/>
      </c>
      <c r="J226" s="145" t="str">
        <f t="shared" si="2"/>
        <v/>
      </c>
      <c r="K226" s="146" t="str">
        <f>IF(L226=0,"",IF(Ijour=0,MIN(DATE(YEAR(DebAmort),MONTH(DebAmort)+MoisD+(H226-1)*Imois,Jour2),DATE(YEAR(DebAmort),MONTH(DebAmort)+MoisD+1+(H226-1)*Imois,0)),DATE(YEAR(DebAmort),MONTH(DebAmort),Jour1+(H226-1)*Ijour)))</f>
        <v/>
      </c>
      <c r="L226" s="147">
        <f t="shared" si="5"/>
        <v>0</v>
      </c>
      <c r="M226" s="135">
        <f>IF(H226&lt;=NoEchMaxi,ROUND(L226*R226,NbDeci),0)</f>
        <v>0</v>
      </c>
      <c r="N226" s="134">
        <f>IF(OR(H226&lt;=Différé,H226&gt;NoEchMaxi),IF(DiffTotal,-M226,0),IF(H226&gt;=NoEchRemb,L226,IF(S226-(M226*EchFIXE)&gt;L226-2,L226,S226-(M226*EchFIXE))))+C226</f>
        <v>0</v>
      </c>
      <c r="O226" s="136">
        <f>IF(OR(L226=0,H226&gt;NoEchMaxi),0,ROUND(FraisF+FraisV*L226,NbDeci))+F226</f>
        <v>0</v>
      </c>
      <c r="P226" s="148">
        <f t="shared" si="3"/>
        <v>0</v>
      </c>
      <c r="Q226" s="1"/>
      <c r="R226" s="138">
        <f>IF(B226&gt;0,IF(TauxActuariel,((B226+1)^(1/NbEchAn))-1,B226/NbEchAn),R225)</f>
        <v>0.04</v>
      </c>
      <c r="S226" s="139">
        <f>IF(E226&gt;0,E226,IF(D226&gt;0,IF(AND(EchFIXE,R226&gt;0),ROUND((L226-C226)*R226/(1-((1+R226)^-D226)),NbDeci),ROUND(L226/D226,NbDeci)),S225))</f>
        <v>6664</v>
      </c>
      <c r="T226" s="1"/>
      <c r="U226" s="1"/>
      <c r="V226" s="1"/>
      <c r="W226" s="1"/>
      <c r="X226" s="1"/>
      <c r="Y226" s="1"/>
      <c r="Z226" s="1"/>
      <c r="AA226" s="1"/>
    </row>
    <row r="227" ht="12.75" customHeight="1">
      <c r="A227" s="1"/>
      <c r="B227" s="140"/>
      <c r="C227" s="141"/>
      <c r="D227" s="142"/>
      <c r="E227" s="143"/>
      <c r="F227" s="144"/>
      <c r="G227" s="1"/>
      <c r="H227" s="131" t="str">
        <f t="shared" si="4"/>
        <v/>
      </c>
      <c r="I227" s="132" t="str">
        <f>IF(L227&gt;0,NbEch+Différé+1-H227,"")</f>
        <v/>
      </c>
      <c r="J227" s="145" t="str">
        <f t="shared" si="2"/>
        <v/>
      </c>
      <c r="K227" s="146" t="str">
        <f>IF(L227=0,"",IF(Ijour=0,MIN(DATE(YEAR(DebAmort),MONTH(DebAmort)+(H227-1)*Imois,Jour1),DATE(YEAR(DebAmort),MONTH(DebAmort)+1+(H227-1)*Imois,0)),DATE(YEAR(DebAmort),MONTH(DebAmort),Jour1+(H227-1)*Ijour)))</f>
        <v/>
      </c>
      <c r="L227" s="147">
        <f t="shared" si="5"/>
        <v>0</v>
      </c>
      <c r="M227" s="135">
        <f>IF(H227&lt;=NoEchMaxi,ROUND(L227*R227,NbDeci),0)</f>
        <v>0</v>
      </c>
      <c r="N227" s="134">
        <f>IF(OR(H227&lt;=Différé,H227&gt;NoEchMaxi),IF(DiffTotal,-M227,0),IF(H227&gt;=NoEchRemb,L227,IF(S227-(M227*EchFIXE)&gt;L227-2,L227,S227-(M227*EchFIXE))))+C227</f>
        <v>0</v>
      </c>
      <c r="O227" s="136">
        <f>IF(OR(L227=0,H227&gt;NoEchMaxi),0,ROUND(FraisF+FraisV*L227,NbDeci))+F227</f>
        <v>0</v>
      </c>
      <c r="P227" s="148">
        <f t="shared" si="3"/>
        <v>0</v>
      </c>
      <c r="Q227" s="1"/>
      <c r="R227" s="138">
        <f>IF(B227&gt;0,IF(TauxActuariel,((B227+1)^(1/NbEchAn))-1,B227/NbEchAn),R226)</f>
        <v>0.04</v>
      </c>
      <c r="S227" s="139">
        <f>IF(E227&gt;0,E227,IF(D227&gt;0,IF(AND(EchFIXE,R227&gt;0),ROUND((L227-C227)*R227/(1-((1+R227)^-D227)),NbDeci),ROUND(L227/D227,NbDeci)),S226))</f>
        <v>6664</v>
      </c>
      <c r="T227" s="1"/>
      <c r="U227" s="1"/>
      <c r="V227" s="1"/>
      <c r="W227" s="1"/>
      <c r="X227" s="1"/>
      <c r="Y227" s="1"/>
      <c r="Z227" s="1"/>
      <c r="AA227" s="1"/>
    </row>
    <row r="228" ht="12.75" customHeight="1">
      <c r="A228" s="1"/>
      <c r="B228" s="140"/>
      <c r="C228" s="141"/>
      <c r="D228" s="142"/>
      <c r="E228" s="143"/>
      <c r="F228" s="144"/>
      <c r="G228" s="1"/>
      <c r="H228" s="131" t="str">
        <f t="shared" si="4"/>
        <v/>
      </c>
      <c r="I228" s="132" t="str">
        <f>IF(L228&gt;0,NbEch+Différé+1-H228,"")</f>
        <v/>
      </c>
      <c r="J228" s="145" t="str">
        <f t="shared" si="2"/>
        <v/>
      </c>
      <c r="K228" s="146" t="str">
        <f>IF(L228=0,"",IF(Ijour=0,MIN(DATE(YEAR(DebAmort),MONTH(DebAmort)+MoisD+(H228-1)*Imois,Jour2),DATE(YEAR(DebAmort),MONTH(DebAmort)+MoisD+1+(H228-1)*Imois,0)),DATE(YEAR(DebAmort),MONTH(DebAmort),Jour1+(H228-1)*Ijour)))</f>
        <v/>
      </c>
      <c r="L228" s="147">
        <f t="shared" si="5"/>
        <v>0</v>
      </c>
      <c r="M228" s="135">
        <f>IF(H228&lt;=NoEchMaxi,ROUND(L228*R228,NbDeci),0)</f>
        <v>0</v>
      </c>
      <c r="N228" s="134">
        <f>IF(OR(H228&lt;=Différé,H228&gt;NoEchMaxi),IF(DiffTotal,-M228,0),IF(H228&gt;=NoEchRemb,L228,IF(S228-(M228*EchFIXE)&gt;L228-2,L228,S228-(M228*EchFIXE))))+C228</f>
        <v>0</v>
      </c>
      <c r="O228" s="136">
        <f>IF(OR(L228=0,H228&gt;NoEchMaxi),0,ROUND(FraisF+FraisV*L228,NbDeci))+F228</f>
        <v>0</v>
      </c>
      <c r="P228" s="148">
        <f t="shared" si="3"/>
        <v>0</v>
      </c>
      <c r="Q228" s="1"/>
      <c r="R228" s="138">
        <f>IF(B228&gt;0,IF(TauxActuariel,((B228+1)^(1/NbEchAn))-1,B228/NbEchAn),R227)</f>
        <v>0.04</v>
      </c>
      <c r="S228" s="139">
        <f>IF(E228&gt;0,E228,IF(D228&gt;0,IF(AND(EchFIXE,R228&gt;0),ROUND((L228-C228)*R228/(1-((1+R228)^-D228)),NbDeci),ROUND(L228/D228,NbDeci)),S227))</f>
        <v>6664</v>
      </c>
      <c r="T228" s="1"/>
      <c r="U228" s="1"/>
      <c r="V228" s="1"/>
      <c r="W228" s="1"/>
      <c r="X228" s="1"/>
      <c r="Y228" s="1"/>
      <c r="Z228" s="1"/>
      <c r="AA228" s="1"/>
    </row>
    <row r="229" ht="12.75" customHeight="1">
      <c r="A229" s="1"/>
      <c r="B229" s="140"/>
      <c r="C229" s="141"/>
      <c r="D229" s="142"/>
      <c r="E229" s="143"/>
      <c r="F229" s="144"/>
      <c r="G229" s="1"/>
      <c r="H229" s="131" t="str">
        <f t="shared" si="4"/>
        <v/>
      </c>
      <c r="I229" s="132" t="str">
        <f>IF(L229&gt;0,NbEch+Différé+1-H229,"")</f>
        <v/>
      </c>
      <c r="J229" s="145" t="str">
        <f t="shared" si="2"/>
        <v/>
      </c>
      <c r="K229" s="146" t="str">
        <f>IF(L229=0,"",IF(Ijour=0,MIN(DATE(YEAR(DebAmort),MONTH(DebAmort)+(H229-1)*Imois,Jour1),DATE(YEAR(DebAmort),MONTH(DebAmort)+1+(H229-1)*Imois,0)),DATE(YEAR(DebAmort),MONTH(DebAmort),Jour1+(H229-1)*Ijour)))</f>
        <v/>
      </c>
      <c r="L229" s="147">
        <f t="shared" si="5"/>
        <v>0</v>
      </c>
      <c r="M229" s="135">
        <f>IF(H229&lt;=NoEchMaxi,ROUND(L229*R229,NbDeci),0)</f>
        <v>0</v>
      </c>
      <c r="N229" s="134">
        <f>IF(OR(H229&lt;=Différé,H229&gt;NoEchMaxi),IF(DiffTotal,-M229,0),IF(H229&gt;=NoEchRemb,L229,IF(S229-(M229*EchFIXE)&gt;L229-2,L229,S229-(M229*EchFIXE))))+C229</f>
        <v>0</v>
      </c>
      <c r="O229" s="136">
        <f>IF(OR(L229=0,H229&gt;NoEchMaxi),0,ROUND(FraisF+FraisV*L229,NbDeci))+F229</f>
        <v>0</v>
      </c>
      <c r="P229" s="148">
        <f t="shared" si="3"/>
        <v>0</v>
      </c>
      <c r="Q229" s="1"/>
      <c r="R229" s="138">
        <f>IF(B229&gt;0,IF(TauxActuariel,((B229+1)^(1/NbEchAn))-1,B229/NbEchAn),R228)</f>
        <v>0.04</v>
      </c>
      <c r="S229" s="139">
        <f>IF(E229&gt;0,E229,IF(D229&gt;0,IF(AND(EchFIXE,R229&gt;0),ROUND((L229-C229)*R229/(1-((1+R229)^-D229)),NbDeci),ROUND(L229/D229,NbDeci)),S228))</f>
        <v>6664</v>
      </c>
      <c r="T229" s="1"/>
      <c r="U229" s="1"/>
      <c r="V229" s="1"/>
      <c r="W229" s="1"/>
      <c r="X229" s="1"/>
      <c r="Y229" s="1"/>
      <c r="Z229" s="1"/>
      <c r="AA229" s="1"/>
    </row>
    <row r="230" ht="12.75" customHeight="1">
      <c r="A230" s="1"/>
      <c r="B230" s="140"/>
      <c r="C230" s="141"/>
      <c r="D230" s="142"/>
      <c r="E230" s="143"/>
      <c r="F230" s="144"/>
      <c r="G230" s="1"/>
      <c r="H230" s="131" t="str">
        <f t="shared" si="4"/>
        <v/>
      </c>
      <c r="I230" s="132" t="str">
        <f>IF(L230&gt;0,NbEch+Différé+1-H230,"")</f>
        <v/>
      </c>
      <c r="J230" s="145" t="str">
        <f t="shared" si="2"/>
        <v/>
      </c>
      <c r="K230" s="146" t="str">
        <f>IF(L230=0,"",IF(Ijour=0,MIN(DATE(YEAR(DebAmort),MONTH(DebAmort)+MoisD+(H230-1)*Imois,Jour2),DATE(YEAR(DebAmort),MONTH(DebAmort)+MoisD+1+(H230-1)*Imois,0)),DATE(YEAR(DebAmort),MONTH(DebAmort),Jour1+(H230-1)*Ijour)))</f>
        <v/>
      </c>
      <c r="L230" s="147">
        <f t="shared" si="5"/>
        <v>0</v>
      </c>
      <c r="M230" s="135">
        <f>IF(H230&lt;=NoEchMaxi,ROUND(L230*R230,NbDeci),0)</f>
        <v>0</v>
      </c>
      <c r="N230" s="134">
        <f>IF(OR(H230&lt;=Différé,H230&gt;NoEchMaxi),IF(DiffTotal,-M230,0),IF(H230&gt;=NoEchRemb,L230,IF(S230-(M230*EchFIXE)&gt;L230-2,L230,S230-(M230*EchFIXE))))+C230</f>
        <v>0</v>
      </c>
      <c r="O230" s="136">
        <f>IF(OR(L230=0,H230&gt;NoEchMaxi),0,ROUND(FraisF+FraisV*L230,NbDeci))+F230</f>
        <v>0</v>
      </c>
      <c r="P230" s="148">
        <f t="shared" si="3"/>
        <v>0</v>
      </c>
      <c r="Q230" s="1"/>
      <c r="R230" s="138">
        <f>IF(B230&gt;0,IF(TauxActuariel,((B230+1)^(1/NbEchAn))-1,B230/NbEchAn),R229)</f>
        <v>0.04</v>
      </c>
      <c r="S230" s="139">
        <f>IF(E230&gt;0,E230,IF(D230&gt;0,IF(AND(EchFIXE,R230&gt;0),ROUND((L230-C230)*R230/(1-((1+R230)^-D230)),NbDeci),ROUND(L230/D230,NbDeci)),S229))</f>
        <v>6664</v>
      </c>
      <c r="T230" s="1"/>
      <c r="U230" s="1"/>
      <c r="V230" s="1"/>
      <c r="W230" s="1"/>
      <c r="X230" s="1"/>
      <c r="Y230" s="1"/>
      <c r="Z230" s="1"/>
      <c r="AA230" s="1"/>
    </row>
    <row r="231" ht="12.75" customHeight="1">
      <c r="A231" s="1"/>
      <c r="B231" s="140"/>
      <c r="C231" s="141"/>
      <c r="D231" s="142"/>
      <c r="E231" s="143"/>
      <c r="F231" s="144"/>
      <c r="G231" s="1"/>
      <c r="H231" s="131" t="str">
        <f t="shared" si="4"/>
        <v/>
      </c>
      <c r="I231" s="132" t="str">
        <f>IF(L231&gt;0,NbEch+Différé+1-H231,"")</f>
        <v/>
      </c>
      <c r="J231" s="145" t="str">
        <f t="shared" si="2"/>
        <v/>
      </c>
      <c r="K231" s="146" t="str">
        <f>IF(L231=0,"",IF(Ijour=0,MIN(DATE(YEAR(DebAmort),MONTH(DebAmort)+(H231-1)*Imois,Jour1),DATE(YEAR(DebAmort),MONTH(DebAmort)+1+(H231-1)*Imois,0)),DATE(YEAR(DebAmort),MONTH(DebAmort),Jour1+(H231-1)*Ijour)))</f>
        <v/>
      </c>
      <c r="L231" s="147">
        <f t="shared" si="5"/>
        <v>0</v>
      </c>
      <c r="M231" s="135">
        <f>IF(H231&lt;=NoEchMaxi,ROUND(L231*R231,NbDeci),0)</f>
        <v>0</v>
      </c>
      <c r="N231" s="134">
        <f>IF(OR(H231&lt;=Différé,H231&gt;NoEchMaxi),IF(DiffTotal,-M231,0),IF(H231&gt;=NoEchRemb,L231,IF(S231-(M231*EchFIXE)&gt;L231-2,L231,S231-(M231*EchFIXE))))+C231</f>
        <v>0</v>
      </c>
      <c r="O231" s="136">
        <f>IF(OR(L231=0,H231&gt;NoEchMaxi),0,ROUND(FraisF+FraisV*L231,NbDeci))+F231</f>
        <v>0</v>
      </c>
      <c r="P231" s="148">
        <f t="shared" si="3"/>
        <v>0</v>
      </c>
      <c r="Q231" s="1"/>
      <c r="R231" s="138">
        <f>IF(B231&gt;0,IF(TauxActuariel,((B231+1)^(1/NbEchAn))-1,B231/NbEchAn),R230)</f>
        <v>0.04</v>
      </c>
      <c r="S231" s="139">
        <f>IF(E231&gt;0,E231,IF(D231&gt;0,IF(AND(EchFIXE,R231&gt;0),ROUND((L231-C231)*R231/(1-((1+R231)^-D231)),NbDeci),ROUND(L231/D231,NbDeci)),S230))</f>
        <v>6664</v>
      </c>
      <c r="T231" s="1"/>
      <c r="U231" s="1"/>
      <c r="V231" s="1"/>
      <c r="W231" s="1"/>
      <c r="X231" s="1"/>
      <c r="Y231" s="1"/>
      <c r="Z231" s="1"/>
      <c r="AA231" s="1"/>
    </row>
    <row r="232" ht="12.75" customHeight="1">
      <c r="A232" s="1"/>
      <c r="B232" s="140"/>
      <c r="C232" s="141"/>
      <c r="D232" s="142"/>
      <c r="E232" s="143"/>
      <c r="F232" s="144"/>
      <c r="G232" s="1"/>
      <c r="H232" s="131" t="str">
        <f t="shared" si="4"/>
        <v/>
      </c>
      <c r="I232" s="132" t="str">
        <f>IF(L232&gt;0,NbEch+Différé+1-H232,"")</f>
        <v/>
      </c>
      <c r="J232" s="145" t="str">
        <f t="shared" si="2"/>
        <v/>
      </c>
      <c r="K232" s="146" t="str">
        <f>IF(L232=0,"",IF(Ijour=0,MIN(DATE(YEAR(DebAmort),MONTH(DebAmort)+MoisD+(H232-1)*Imois,Jour2),DATE(YEAR(DebAmort),MONTH(DebAmort)+MoisD+1+(H232-1)*Imois,0)),DATE(YEAR(DebAmort),MONTH(DebAmort),Jour1+(H232-1)*Ijour)))</f>
        <v/>
      </c>
      <c r="L232" s="147">
        <f t="shared" si="5"/>
        <v>0</v>
      </c>
      <c r="M232" s="135">
        <f>IF(H232&lt;=NoEchMaxi,ROUND(L232*R232,NbDeci),0)</f>
        <v>0</v>
      </c>
      <c r="N232" s="134">
        <f>IF(OR(H232&lt;=Différé,H232&gt;NoEchMaxi),IF(DiffTotal,-M232,0),IF(H232&gt;=NoEchRemb,L232,IF(S232-(M232*EchFIXE)&gt;L232-2,L232,S232-(M232*EchFIXE))))+C232</f>
        <v>0</v>
      </c>
      <c r="O232" s="136">
        <f>IF(OR(L232=0,H232&gt;NoEchMaxi),0,ROUND(FraisF+FraisV*L232,NbDeci))+F232</f>
        <v>0</v>
      </c>
      <c r="P232" s="148">
        <f t="shared" si="3"/>
        <v>0</v>
      </c>
      <c r="Q232" s="1"/>
      <c r="R232" s="138">
        <f>IF(B232&gt;0,IF(TauxActuariel,((B232+1)^(1/NbEchAn))-1,B232/NbEchAn),R231)</f>
        <v>0.04</v>
      </c>
      <c r="S232" s="139">
        <f>IF(E232&gt;0,E232,IF(D232&gt;0,IF(AND(EchFIXE,R232&gt;0),ROUND((L232-C232)*R232/(1-((1+R232)^-D232)),NbDeci),ROUND(L232/D232,NbDeci)),S231))</f>
        <v>6664</v>
      </c>
      <c r="T232" s="1"/>
      <c r="U232" s="1"/>
      <c r="V232" s="1"/>
      <c r="W232" s="1"/>
      <c r="X232" s="1"/>
      <c r="Y232" s="1"/>
      <c r="Z232" s="1"/>
      <c r="AA232" s="1"/>
    </row>
    <row r="233" ht="12.75" customHeight="1">
      <c r="A233" s="1"/>
      <c r="B233" s="140"/>
      <c r="C233" s="141"/>
      <c r="D233" s="142"/>
      <c r="E233" s="143"/>
      <c r="F233" s="144"/>
      <c r="G233" s="1"/>
      <c r="H233" s="131" t="str">
        <f t="shared" si="4"/>
        <v/>
      </c>
      <c r="I233" s="132" t="str">
        <f>IF(L233&gt;0,NbEch+Différé+1-H233,"")</f>
        <v/>
      </c>
      <c r="J233" s="145" t="str">
        <f t="shared" si="2"/>
        <v/>
      </c>
      <c r="K233" s="146" t="str">
        <f>IF(L233=0,"",IF(Ijour=0,MIN(DATE(YEAR(DebAmort),MONTH(DebAmort)+(H233-1)*Imois,Jour1),DATE(YEAR(DebAmort),MONTH(DebAmort)+1+(H233-1)*Imois,0)),DATE(YEAR(DebAmort),MONTH(DebAmort),Jour1+(H233-1)*Ijour)))</f>
        <v/>
      </c>
      <c r="L233" s="147">
        <f t="shared" si="5"/>
        <v>0</v>
      </c>
      <c r="M233" s="135">
        <f>IF(H233&lt;=NoEchMaxi,ROUND(L233*R233,NbDeci),0)</f>
        <v>0</v>
      </c>
      <c r="N233" s="134">
        <f>IF(OR(H233&lt;=Différé,H233&gt;NoEchMaxi),IF(DiffTotal,-M233,0),IF(H233&gt;=NoEchRemb,L233,IF(S233-(M233*EchFIXE)&gt;L233-2,L233,S233-(M233*EchFIXE))))+C233</f>
        <v>0</v>
      </c>
      <c r="O233" s="136">
        <f>IF(OR(L233=0,H233&gt;NoEchMaxi),0,ROUND(FraisF+FraisV*L233,NbDeci))+F233</f>
        <v>0</v>
      </c>
      <c r="P233" s="148">
        <f t="shared" si="3"/>
        <v>0</v>
      </c>
      <c r="Q233" s="1"/>
      <c r="R233" s="138">
        <f>IF(B233&gt;0,IF(TauxActuariel,((B233+1)^(1/NbEchAn))-1,B233/NbEchAn),R232)</f>
        <v>0.04</v>
      </c>
      <c r="S233" s="139">
        <f>IF(E233&gt;0,E233,IF(D233&gt;0,IF(AND(EchFIXE,R233&gt;0),ROUND((L233-C233)*R233/(1-((1+R233)^-D233)),NbDeci),ROUND(L233/D233,NbDeci)),S232))</f>
        <v>6664</v>
      </c>
      <c r="T233" s="1"/>
      <c r="U233" s="1"/>
      <c r="V233" s="1"/>
      <c r="W233" s="1"/>
      <c r="X233" s="1"/>
      <c r="Y233" s="1"/>
      <c r="Z233" s="1"/>
      <c r="AA233" s="1"/>
    </row>
    <row r="234" ht="12.75" customHeight="1">
      <c r="A234" s="1"/>
      <c r="B234" s="140"/>
      <c r="C234" s="141"/>
      <c r="D234" s="142"/>
      <c r="E234" s="143"/>
      <c r="F234" s="144"/>
      <c r="G234" s="1"/>
      <c r="H234" s="131" t="str">
        <f t="shared" si="4"/>
        <v/>
      </c>
      <c r="I234" s="132" t="str">
        <f>IF(L234&gt;0,NbEch+Différé+1-H234,"")</f>
        <v/>
      </c>
      <c r="J234" s="145" t="str">
        <f t="shared" si="2"/>
        <v/>
      </c>
      <c r="K234" s="146" t="str">
        <f>IF(L234=0,"",IF(Ijour=0,MIN(DATE(YEAR(DebAmort),MONTH(DebAmort)+MoisD+(H234-1)*Imois,Jour2),DATE(YEAR(DebAmort),MONTH(DebAmort)+MoisD+1+(H234-1)*Imois,0)),DATE(YEAR(DebAmort),MONTH(DebAmort),Jour1+(H234-1)*Ijour)))</f>
        <v/>
      </c>
      <c r="L234" s="147">
        <f t="shared" si="5"/>
        <v>0</v>
      </c>
      <c r="M234" s="135">
        <f>IF(H234&lt;=NoEchMaxi,ROUND(L234*R234,NbDeci),0)</f>
        <v>0</v>
      </c>
      <c r="N234" s="134">
        <f>IF(OR(H234&lt;=Différé,H234&gt;NoEchMaxi),IF(DiffTotal,-M234,0),IF(H234&gt;=NoEchRemb,L234,IF(S234-(M234*EchFIXE)&gt;L234-2,L234,S234-(M234*EchFIXE))))+C234</f>
        <v>0</v>
      </c>
      <c r="O234" s="136">
        <f>IF(OR(L234=0,H234&gt;NoEchMaxi),0,ROUND(FraisF+FraisV*L234,NbDeci))+F234</f>
        <v>0</v>
      </c>
      <c r="P234" s="148">
        <f t="shared" si="3"/>
        <v>0</v>
      </c>
      <c r="Q234" s="1"/>
      <c r="R234" s="138">
        <f>IF(B234&gt;0,IF(TauxActuariel,((B234+1)^(1/NbEchAn))-1,B234/NbEchAn),R233)</f>
        <v>0.04</v>
      </c>
      <c r="S234" s="139">
        <f>IF(E234&gt;0,E234,IF(D234&gt;0,IF(AND(EchFIXE,R234&gt;0),ROUND((L234-C234)*R234/(1-((1+R234)^-D234)),NbDeci),ROUND(L234/D234,NbDeci)),S233))</f>
        <v>6664</v>
      </c>
      <c r="T234" s="1"/>
      <c r="U234" s="1"/>
      <c r="V234" s="1"/>
      <c r="W234" s="1"/>
      <c r="X234" s="1"/>
      <c r="Y234" s="1"/>
      <c r="Z234" s="1"/>
      <c r="AA234" s="1"/>
    </row>
    <row r="235" ht="12.75" customHeight="1">
      <c r="A235" s="1"/>
      <c r="B235" s="140"/>
      <c r="C235" s="141"/>
      <c r="D235" s="142"/>
      <c r="E235" s="143"/>
      <c r="F235" s="144"/>
      <c r="G235" s="1"/>
      <c r="H235" s="131" t="str">
        <f t="shared" si="4"/>
        <v/>
      </c>
      <c r="I235" s="132" t="str">
        <f>IF(L235&gt;0,NbEch+Différé+1-H235,"")</f>
        <v/>
      </c>
      <c r="J235" s="145" t="str">
        <f t="shared" si="2"/>
        <v/>
      </c>
      <c r="K235" s="146" t="str">
        <f>IF(L235=0,"",IF(Ijour=0,MIN(DATE(YEAR(DebAmort),MONTH(DebAmort)+(H235-1)*Imois,Jour1),DATE(YEAR(DebAmort),MONTH(DebAmort)+1+(H235-1)*Imois,0)),DATE(YEAR(DebAmort),MONTH(DebAmort),Jour1+(H235-1)*Ijour)))</f>
        <v/>
      </c>
      <c r="L235" s="147">
        <f t="shared" si="5"/>
        <v>0</v>
      </c>
      <c r="M235" s="135">
        <f>IF(H235&lt;=NoEchMaxi,ROUND(L235*R235,NbDeci),0)</f>
        <v>0</v>
      </c>
      <c r="N235" s="134">
        <f>IF(OR(H235&lt;=Différé,H235&gt;NoEchMaxi),IF(DiffTotal,-M235,0),IF(H235&gt;=NoEchRemb,L235,IF(S235-(M235*EchFIXE)&gt;L235-2,L235,S235-(M235*EchFIXE))))+C235</f>
        <v>0</v>
      </c>
      <c r="O235" s="136">
        <f>IF(OR(L235=0,H235&gt;NoEchMaxi),0,ROUND(FraisF+FraisV*L235,NbDeci))+F235</f>
        <v>0</v>
      </c>
      <c r="P235" s="148">
        <f t="shared" si="3"/>
        <v>0</v>
      </c>
      <c r="Q235" s="1"/>
      <c r="R235" s="138">
        <f>IF(B235&gt;0,IF(TauxActuariel,((B235+1)^(1/NbEchAn))-1,B235/NbEchAn),R234)</f>
        <v>0.04</v>
      </c>
      <c r="S235" s="139">
        <f>IF(E235&gt;0,E235,IF(D235&gt;0,IF(AND(EchFIXE,R235&gt;0),ROUND((L235-C235)*R235/(1-((1+R235)^-D235)),NbDeci),ROUND(L235/D235,NbDeci)),S234))</f>
        <v>6664</v>
      </c>
      <c r="T235" s="1"/>
      <c r="U235" s="1"/>
      <c r="V235" s="1"/>
      <c r="W235" s="1"/>
      <c r="X235" s="1"/>
      <c r="Y235" s="1"/>
      <c r="Z235" s="1"/>
      <c r="AA235" s="1"/>
    </row>
    <row r="236" ht="12.75" customHeight="1">
      <c r="A236" s="1"/>
      <c r="B236" s="140"/>
      <c r="C236" s="141"/>
      <c r="D236" s="142"/>
      <c r="E236" s="143"/>
      <c r="F236" s="144"/>
      <c r="G236" s="1"/>
      <c r="H236" s="131" t="str">
        <f t="shared" si="4"/>
        <v/>
      </c>
      <c r="I236" s="132" t="str">
        <f>IF(L236&gt;0,NbEch+Différé+1-H236,"")</f>
        <v/>
      </c>
      <c r="J236" s="145" t="str">
        <f t="shared" si="2"/>
        <v/>
      </c>
      <c r="K236" s="146" t="str">
        <f>IF(L236=0,"",IF(Ijour=0,MIN(DATE(YEAR(DebAmort),MONTH(DebAmort)+MoisD+(H236-1)*Imois,Jour2),DATE(YEAR(DebAmort),MONTH(DebAmort)+MoisD+1+(H236-1)*Imois,0)),DATE(YEAR(DebAmort),MONTH(DebAmort),Jour1+(H236-1)*Ijour)))</f>
        <v/>
      </c>
      <c r="L236" s="147">
        <f t="shared" si="5"/>
        <v>0</v>
      </c>
      <c r="M236" s="135">
        <f>IF(H236&lt;=NoEchMaxi,ROUND(L236*R236,NbDeci),0)</f>
        <v>0</v>
      </c>
      <c r="N236" s="134">
        <f>IF(OR(H236&lt;=Différé,H236&gt;NoEchMaxi),IF(DiffTotal,-M236,0),IF(H236&gt;=NoEchRemb,L236,IF(S236-(M236*EchFIXE)&gt;L236-2,L236,S236-(M236*EchFIXE))))+C236</f>
        <v>0</v>
      </c>
      <c r="O236" s="136">
        <f>IF(OR(L236=0,H236&gt;NoEchMaxi),0,ROUND(FraisF+FraisV*L236,NbDeci))+F236</f>
        <v>0</v>
      </c>
      <c r="P236" s="148">
        <f t="shared" si="3"/>
        <v>0</v>
      </c>
      <c r="Q236" s="1"/>
      <c r="R236" s="138">
        <f>IF(B236&gt;0,IF(TauxActuariel,((B236+1)^(1/NbEchAn))-1,B236/NbEchAn),R235)</f>
        <v>0.04</v>
      </c>
      <c r="S236" s="139">
        <f>IF(E236&gt;0,E236,IF(D236&gt;0,IF(AND(EchFIXE,R236&gt;0),ROUND((L236-C236)*R236/(1-((1+R236)^-D236)),NbDeci),ROUND(L236/D236,NbDeci)),S235))</f>
        <v>6664</v>
      </c>
      <c r="T236" s="1"/>
      <c r="U236" s="1"/>
      <c r="V236" s="1"/>
      <c r="W236" s="1"/>
      <c r="X236" s="1"/>
      <c r="Y236" s="1"/>
      <c r="Z236" s="1"/>
      <c r="AA236" s="1"/>
    </row>
    <row r="237" ht="12.75" customHeight="1">
      <c r="A237" s="1"/>
      <c r="B237" s="140"/>
      <c r="C237" s="141"/>
      <c r="D237" s="142"/>
      <c r="E237" s="143"/>
      <c r="F237" s="144"/>
      <c r="G237" s="1"/>
      <c r="H237" s="131" t="str">
        <f t="shared" si="4"/>
        <v/>
      </c>
      <c r="I237" s="132" t="str">
        <f>IF(L237&gt;0,NbEch+Différé+1-H237,"")</f>
        <v/>
      </c>
      <c r="J237" s="145" t="str">
        <f t="shared" si="2"/>
        <v/>
      </c>
      <c r="K237" s="146" t="str">
        <f>IF(L237=0,"",IF(Ijour=0,MIN(DATE(YEAR(DebAmort),MONTH(DebAmort)+(H237-1)*Imois,Jour1),DATE(YEAR(DebAmort),MONTH(DebAmort)+1+(H237-1)*Imois,0)),DATE(YEAR(DebAmort),MONTH(DebAmort),Jour1+(H237-1)*Ijour)))</f>
        <v/>
      </c>
      <c r="L237" s="147">
        <f t="shared" si="5"/>
        <v>0</v>
      </c>
      <c r="M237" s="135">
        <f>IF(H237&lt;=NoEchMaxi,ROUND(L237*R237,NbDeci),0)</f>
        <v>0</v>
      </c>
      <c r="N237" s="134">
        <f>IF(OR(H237&lt;=Différé,H237&gt;NoEchMaxi),IF(DiffTotal,-M237,0),IF(H237&gt;=NoEchRemb,L237,IF(S237-(M237*EchFIXE)&gt;L237-2,L237,S237-(M237*EchFIXE))))+C237</f>
        <v>0</v>
      </c>
      <c r="O237" s="136">
        <f>IF(OR(L237=0,H237&gt;NoEchMaxi),0,ROUND(FraisF+FraisV*L237,NbDeci))+F237</f>
        <v>0</v>
      </c>
      <c r="P237" s="148">
        <f t="shared" si="3"/>
        <v>0</v>
      </c>
      <c r="Q237" s="1"/>
      <c r="R237" s="138">
        <f>IF(B237&gt;0,IF(TauxActuariel,((B237+1)^(1/NbEchAn))-1,B237/NbEchAn),R236)</f>
        <v>0.04</v>
      </c>
      <c r="S237" s="139">
        <f>IF(E237&gt;0,E237,IF(D237&gt;0,IF(AND(EchFIXE,R237&gt;0),ROUND((L237-C237)*R237/(1-((1+R237)^-D237)),NbDeci),ROUND(L237/D237,NbDeci)),S236))</f>
        <v>6664</v>
      </c>
      <c r="T237" s="1"/>
      <c r="U237" s="1"/>
      <c r="V237" s="1"/>
      <c r="W237" s="1"/>
      <c r="X237" s="1"/>
      <c r="Y237" s="1"/>
      <c r="Z237" s="1"/>
      <c r="AA237" s="1"/>
    </row>
    <row r="238" ht="12.75" customHeight="1">
      <c r="A238" s="1"/>
      <c r="B238" s="140"/>
      <c r="C238" s="141"/>
      <c r="D238" s="142"/>
      <c r="E238" s="143"/>
      <c r="F238" s="144"/>
      <c r="G238" s="1"/>
      <c r="H238" s="131" t="str">
        <f t="shared" si="4"/>
        <v/>
      </c>
      <c r="I238" s="132" t="str">
        <f>IF(L238&gt;0,NbEch+Différé+1-H238,"")</f>
        <v/>
      </c>
      <c r="J238" s="145" t="str">
        <f t="shared" si="2"/>
        <v/>
      </c>
      <c r="K238" s="146" t="str">
        <f>IF(L238=0,"",IF(Ijour=0,MIN(DATE(YEAR(DebAmort),MONTH(DebAmort)+MoisD+(H238-1)*Imois,Jour2),DATE(YEAR(DebAmort),MONTH(DebAmort)+MoisD+1+(H238-1)*Imois,0)),DATE(YEAR(DebAmort),MONTH(DebAmort),Jour1+(H238-1)*Ijour)))</f>
        <v/>
      </c>
      <c r="L238" s="147">
        <f t="shared" si="5"/>
        <v>0</v>
      </c>
      <c r="M238" s="135">
        <f>IF(H238&lt;=NoEchMaxi,ROUND(L238*R238,NbDeci),0)</f>
        <v>0</v>
      </c>
      <c r="N238" s="134">
        <f>IF(OR(H238&lt;=Différé,H238&gt;NoEchMaxi),IF(DiffTotal,-M238,0),IF(H238&gt;=NoEchRemb,L238,IF(S238-(M238*EchFIXE)&gt;L238-2,L238,S238-(M238*EchFIXE))))+C238</f>
        <v>0</v>
      </c>
      <c r="O238" s="136">
        <f>IF(OR(L238=0,H238&gt;NoEchMaxi),0,ROUND(FraisF+FraisV*L238,NbDeci))+F238</f>
        <v>0</v>
      </c>
      <c r="P238" s="148">
        <f t="shared" si="3"/>
        <v>0</v>
      </c>
      <c r="Q238" s="1"/>
      <c r="R238" s="138">
        <f>IF(B238&gt;0,IF(TauxActuariel,((B238+1)^(1/NbEchAn))-1,B238/NbEchAn),R237)</f>
        <v>0.04</v>
      </c>
      <c r="S238" s="139">
        <f>IF(E238&gt;0,E238,IF(D238&gt;0,IF(AND(EchFIXE,R238&gt;0),ROUND((L238-C238)*R238/(1-((1+R238)^-D238)),NbDeci),ROUND(L238/D238,NbDeci)),S237))</f>
        <v>6664</v>
      </c>
      <c r="T238" s="1"/>
      <c r="U238" s="1"/>
      <c r="V238" s="1"/>
      <c r="W238" s="1"/>
      <c r="X238" s="1"/>
      <c r="Y238" s="1"/>
      <c r="Z238" s="1"/>
      <c r="AA238" s="1"/>
    </row>
    <row r="239" ht="12.75" customHeight="1">
      <c r="A239" s="1"/>
      <c r="B239" s="140"/>
      <c r="C239" s="141"/>
      <c r="D239" s="142"/>
      <c r="E239" s="143"/>
      <c r="F239" s="144"/>
      <c r="G239" s="1"/>
      <c r="H239" s="131" t="str">
        <f t="shared" si="4"/>
        <v/>
      </c>
      <c r="I239" s="132" t="str">
        <f>IF(L239&gt;0,NbEch+Différé+1-H239,"")</f>
        <v/>
      </c>
      <c r="J239" s="145" t="str">
        <f t="shared" si="2"/>
        <v/>
      </c>
      <c r="K239" s="146" t="str">
        <f>IF(L239=0,"",IF(Ijour=0,MIN(DATE(YEAR(DebAmort),MONTH(DebAmort)+(H239-1)*Imois,Jour1),DATE(YEAR(DebAmort),MONTH(DebAmort)+1+(H239-1)*Imois,0)),DATE(YEAR(DebAmort),MONTH(DebAmort),Jour1+(H239-1)*Ijour)))</f>
        <v/>
      </c>
      <c r="L239" s="147">
        <f t="shared" si="5"/>
        <v>0</v>
      </c>
      <c r="M239" s="135">
        <f>IF(H239&lt;=NoEchMaxi,ROUND(L239*R239,NbDeci),0)</f>
        <v>0</v>
      </c>
      <c r="N239" s="134">
        <f>IF(OR(H239&lt;=Différé,H239&gt;NoEchMaxi),IF(DiffTotal,-M239,0),IF(H239&gt;=NoEchRemb,L239,IF(S239-(M239*EchFIXE)&gt;L239-2,L239,S239-(M239*EchFIXE))))+C239</f>
        <v>0</v>
      </c>
      <c r="O239" s="136">
        <f>IF(OR(L239=0,H239&gt;NoEchMaxi),0,ROUND(FraisF+FraisV*L239,NbDeci))+F239</f>
        <v>0</v>
      </c>
      <c r="P239" s="148">
        <f t="shared" si="3"/>
        <v>0</v>
      </c>
      <c r="Q239" s="1"/>
      <c r="R239" s="138">
        <f>IF(B239&gt;0,IF(TauxActuariel,((B239+1)^(1/NbEchAn))-1,B239/NbEchAn),R238)</f>
        <v>0.04</v>
      </c>
      <c r="S239" s="139">
        <f>IF(E239&gt;0,E239,IF(D239&gt;0,IF(AND(EchFIXE,R239&gt;0),ROUND((L239-C239)*R239/(1-((1+R239)^-D239)),NbDeci),ROUND(L239/D239,NbDeci)),S238))</f>
        <v>6664</v>
      </c>
      <c r="T239" s="1"/>
      <c r="U239" s="1"/>
      <c r="V239" s="1"/>
      <c r="W239" s="1"/>
      <c r="X239" s="1"/>
      <c r="Y239" s="1"/>
      <c r="Z239" s="1"/>
      <c r="AA239" s="1"/>
    </row>
    <row r="240" ht="12.75" customHeight="1">
      <c r="A240" s="1"/>
      <c r="B240" s="140"/>
      <c r="C240" s="141"/>
      <c r="D240" s="142"/>
      <c r="E240" s="143"/>
      <c r="F240" s="144"/>
      <c r="G240" s="1"/>
      <c r="H240" s="131" t="str">
        <f t="shared" si="4"/>
        <v/>
      </c>
      <c r="I240" s="132" t="str">
        <f>IF(L240&gt;0,NbEch+Différé+1-H240,"")</f>
        <v/>
      </c>
      <c r="J240" s="145" t="str">
        <f t="shared" si="2"/>
        <v/>
      </c>
      <c r="K240" s="146" t="str">
        <f>IF(L240=0,"",IF(Ijour=0,MIN(DATE(YEAR(DebAmort),MONTH(DebAmort)+MoisD+(H240-1)*Imois,Jour2),DATE(YEAR(DebAmort),MONTH(DebAmort)+MoisD+1+(H240-1)*Imois,0)),DATE(YEAR(DebAmort),MONTH(DebAmort),Jour1+(H240-1)*Ijour)))</f>
        <v/>
      </c>
      <c r="L240" s="147">
        <f t="shared" si="5"/>
        <v>0</v>
      </c>
      <c r="M240" s="135">
        <f>IF(H240&lt;=NoEchMaxi,ROUND(L240*R240,NbDeci),0)</f>
        <v>0</v>
      </c>
      <c r="N240" s="134">
        <f>IF(OR(H240&lt;=Différé,H240&gt;NoEchMaxi),IF(DiffTotal,-M240,0),IF(H240&gt;=NoEchRemb,L240,IF(S240-(M240*EchFIXE)&gt;L240-2,L240,S240-(M240*EchFIXE))))+C240</f>
        <v>0</v>
      </c>
      <c r="O240" s="136">
        <f>IF(OR(L240=0,H240&gt;NoEchMaxi),0,ROUND(FraisF+FraisV*L240,NbDeci))+F240</f>
        <v>0</v>
      </c>
      <c r="P240" s="148">
        <f t="shared" si="3"/>
        <v>0</v>
      </c>
      <c r="Q240" s="1"/>
      <c r="R240" s="138">
        <f>IF(B240&gt;0,IF(TauxActuariel,((B240+1)^(1/NbEchAn))-1,B240/NbEchAn),R239)</f>
        <v>0.04</v>
      </c>
      <c r="S240" s="139">
        <f>IF(E240&gt;0,E240,IF(D240&gt;0,IF(AND(EchFIXE,R240&gt;0),ROUND((L240-C240)*R240/(1-((1+R240)^-D240)),NbDeci),ROUND(L240/D240,NbDeci)),S239))</f>
        <v>6664</v>
      </c>
      <c r="T240" s="1"/>
      <c r="U240" s="1"/>
      <c r="V240" s="1"/>
      <c r="W240" s="1"/>
      <c r="X240" s="1"/>
      <c r="Y240" s="1"/>
      <c r="Z240" s="1"/>
      <c r="AA240" s="1"/>
    </row>
    <row r="241" ht="12.75" customHeight="1">
      <c r="A241" s="1"/>
      <c r="B241" s="140"/>
      <c r="C241" s="141"/>
      <c r="D241" s="142"/>
      <c r="E241" s="143"/>
      <c r="F241" s="144"/>
      <c r="G241" s="1"/>
      <c r="H241" s="131" t="str">
        <f t="shared" si="4"/>
        <v/>
      </c>
      <c r="I241" s="132" t="str">
        <f>IF(L241&gt;0,NbEch+Différé+1-H241,"")</f>
        <v/>
      </c>
      <c r="J241" s="145" t="str">
        <f t="shared" si="2"/>
        <v/>
      </c>
      <c r="K241" s="146" t="str">
        <f>IF(L241=0,"",IF(Ijour=0,MIN(DATE(YEAR(DebAmort),MONTH(DebAmort)+(H241-1)*Imois,Jour1),DATE(YEAR(DebAmort),MONTH(DebAmort)+1+(H241-1)*Imois,0)),DATE(YEAR(DebAmort),MONTH(DebAmort),Jour1+(H241-1)*Ijour)))</f>
        <v/>
      </c>
      <c r="L241" s="147">
        <f t="shared" si="5"/>
        <v>0</v>
      </c>
      <c r="M241" s="135">
        <f>IF(H241&lt;=NoEchMaxi,ROUND(L241*R241,NbDeci),0)</f>
        <v>0</v>
      </c>
      <c r="N241" s="134">
        <f>IF(OR(H241&lt;=Différé,H241&gt;NoEchMaxi),IF(DiffTotal,-M241,0),IF(H241&gt;=NoEchRemb,L241,IF(S241-(M241*EchFIXE)&gt;L241-2,L241,S241-(M241*EchFIXE))))+C241</f>
        <v>0</v>
      </c>
      <c r="O241" s="136">
        <f>IF(OR(L241=0,H241&gt;NoEchMaxi),0,ROUND(FraisF+FraisV*L241,NbDeci))+F241</f>
        <v>0</v>
      </c>
      <c r="P241" s="148">
        <f t="shared" si="3"/>
        <v>0</v>
      </c>
      <c r="Q241" s="1"/>
      <c r="R241" s="138">
        <f>IF(B241&gt;0,IF(TauxActuariel,((B241+1)^(1/NbEchAn))-1,B241/NbEchAn),R240)</f>
        <v>0.04</v>
      </c>
      <c r="S241" s="139">
        <f>IF(E241&gt;0,E241,IF(D241&gt;0,IF(AND(EchFIXE,R241&gt;0),ROUND((L241-C241)*R241/(1-((1+R241)^-D241)),NbDeci),ROUND(L241/D241,NbDeci)),S240))</f>
        <v>6664</v>
      </c>
      <c r="T241" s="1"/>
      <c r="U241" s="1"/>
      <c r="V241" s="1"/>
      <c r="W241" s="1"/>
      <c r="X241" s="1"/>
      <c r="Y241" s="1"/>
      <c r="Z241" s="1"/>
      <c r="AA241" s="1"/>
    </row>
    <row r="242" ht="12.75" customHeight="1">
      <c r="A242" s="1"/>
      <c r="B242" s="140"/>
      <c r="C242" s="141"/>
      <c r="D242" s="142"/>
      <c r="E242" s="143"/>
      <c r="F242" s="144"/>
      <c r="G242" s="1"/>
      <c r="H242" s="131" t="str">
        <f t="shared" si="4"/>
        <v/>
      </c>
      <c r="I242" s="132" t="str">
        <f>IF(L242&gt;0,NbEch+Différé+1-H242,"")</f>
        <v/>
      </c>
      <c r="J242" s="145" t="str">
        <f t="shared" si="2"/>
        <v/>
      </c>
      <c r="K242" s="146" t="str">
        <f>IF(L242=0,"",IF(Ijour=0,MIN(DATE(YEAR(DebAmort),MONTH(DebAmort)+MoisD+(H242-1)*Imois,Jour2),DATE(YEAR(DebAmort),MONTH(DebAmort)+MoisD+1+(H242-1)*Imois,0)),DATE(YEAR(DebAmort),MONTH(DebAmort),Jour1+(H242-1)*Ijour)))</f>
        <v/>
      </c>
      <c r="L242" s="147">
        <f t="shared" si="5"/>
        <v>0</v>
      </c>
      <c r="M242" s="135">
        <f>IF(H242&lt;=NoEchMaxi,ROUND(L242*R242,NbDeci),0)</f>
        <v>0</v>
      </c>
      <c r="N242" s="134">
        <f>IF(OR(H242&lt;=Différé,H242&gt;NoEchMaxi),IF(DiffTotal,-M242,0),IF(H242&gt;=NoEchRemb,L242,IF(S242-(M242*EchFIXE)&gt;L242-2,L242,S242-(M242*EchFIXE))))+C242</f>
        <v>0</v>
      </c>
      <c r="O242" s="136">
        <f>IF(OR(L242=0,H242&gt;NoEchMaxi),0,ROUND(FraisF+FraisV*L242,NbDeci))+F242</f>
        <v>0</v>
      </c>
      <c r="P242" s="148">
        <f t="shared" si="3"/>
        <v>0</v>
      </c>
      <c r="Q242" s="1"/>
      <c r="R242" s="138">
        <f>IF(B242&gt;0,IF(TauxActuariel,((B242+1)^(1/NbEchAn))-1,B242/NbEchAn),R241)</f>
        <v>0.04</v>
      </c>
      <c r="S242" s="139">
        <f>IF(E242&gt;0,E242,IF(D242&gt;0,IF(AND(EchFIXE,R242&gt;0),ROUND((L242-C242)*R242/(1-((1+R242)^-D242)),NbDeci),ROUND(L242/D242,NbDeci)),S241))</f>
        <v>6664</v>
      </c>
      <c r="T242" s="1"/>
      <c r="U242" s="1"/>
      <c r="V242" s="1"/>
      <c r="W242" s="1"/>
      <c r="X242" s="1"/>
      <c r="Y242" s="1"/>
      <c r="Z242" s="1"/>
      <c r="AA242" s="1"/>
    </row>
    <row r="243" ht="12.75" customHeight="1">
      <c r="A243" s="1"/>
      <c r="B243" s="140"/>
      <c r="C243" s="141"/>
      <c r="D243" s="142"/>
      <c r="E243" s="143"/>
      <c r="F243" s="144"/>
      <c r="G243" s="1"/>
      <c r="H243" s="131" t="str">
        <f t="shared" si="4"/>
        <v/>
      </c>
      <c r="I243" s="132" t="str">
        <f>IF(L243&gt;0,NbEch+Différé+1-H243,"")</f>
        <v/>
      </c>
      <c r="J243" s="145" t="str">
        <f t="shared" si="2"/>
        <v/>
      </c>
      <c r="K243" s="146" t="str">
        <f>IF(L243=0,"",IF(Ijour=0,MIN(DATE(YEAR(DebAmort),MONTH(DebAmort)+(H243-1)*Imois,Jour1),DATE(YEAR(DebAmort),MONTH(DebAmort)+1+(H243-1)*Imois,0)),DATE(YEAR(DebAmort),MONTH(DebAmort),Jour1+(H243-1)*Ijour)))</f>
        <v/>
      </c>
      <c r="L243" s="147">
        <f t="shared" si="5"/>
        <v>0</v>
      </c>
      <c r="M243" s="135">
        <f>IF(H243&lt;=NoEchMaxi,ROUND(L243*R243,NbDeci),0)</f>
        <v>0</v>
      </c>
      <c r="N243" s="134">
        <f>IF(OR(H243&lt;=Différé,H243&gt;NoEchMaxi),IF(DiffTotal,-M243,0),IF(H243&gt;=NoEchRemb,L243,IF(S243-(M243*EchFIXE)&gt;L243-2,L243,S243-(M243*EchFIXE))))+C243</f>
        <v>0</v>
      </c>
      <c r="O243" s="136">
        <f>IF(OR(L243=0,H243&gt;NoEchMaxi),0,ROUND(FraisF+FraisV*L243,NbDeci))+F243</f>
        <v>0</v>
      </c>
      <c r="P243" s="148">
        <f t="shared" si="3"/>
        <v>0</v>
      </c>
      <c r="Q243" s="1"/>
      <c r="R243" s="138">
        <f>IF(B243&gt;0,IF(TauxActuariel,((B243+1)^(1/NbEchAn))-1,B243/NbEchAn),R242)</f>
        <v>0.04</v>
      </c>
      <c r="S243" s="139">
        <f>IF(E243&gt;0,E243,IF(D243&gt;0,IF(AND(EchFIXE,R243&gt;0),ROUND((L243-C243)*R243/(1-((1+R243)^-D243)),NbDeci),ROUND(L243/D243,NbDeci)),S242))</f>
        <v>6664</v>
      </c>
      <c r="T243" s="1"/>
      <c r="U243" s="1"/>
      <c r="V243" s="1"/>
      <c r="W243" s="1"/>
      <c r="X243" s="1"/>
      <c r="Y243" s="1"/>
      <c r="Z243" s="1"/>
      <c r="AA243" s="1"/>
    </row>
    <row r="244" ht="12.75" customHeight="1">
      <c r="A244" s="1"/>
      <c r="B244" s="140"/>
      <c r="C244" s="141"/>
      <c r="D244" s="142"/>
      <c r="E244" s="143"/>
      <c r="F244" s="144"/>
      <c r="G244" s="1"/>
      <c r="H244" s="131" t="str">
        <f t="shared" si="4"/>
        <v/>
      </c>
      <c r="I244" s="132" t="str">
        <f>IF(L244&gt;0,NbEch+Différé+1-H244,"")</f>
        <v/>
      </c>
      <c r="J244" s="145" t="str">
        <f t="shared" si="2"/>
        <v/>
      </c>
      <c r="K244" s="146" t="str">
        <f>IF(L244=0,"",IF(Ijour=0,MIN(DATE(YEAR(DebAmort),MONTH(DebAmort)+MoisD+(H244-1)*Imois,Jour2),DATE(YEAR(DebAmort),MONTH(DebAmort)+MoisD+1+(H244-1)*Imois,0)),DATE(YEAR(DebAmort),MONTH(DebAmort),Jour1+(H244-1)*Ijour)))</f>
        <v/>
      </c>
      <c r="L244" s="147">
        <f t="shared" si="5"/>
        <v>0</v>
      </c>
      <c r="M244" s="135">
        <f>IF(H244&lt;=NoEchMaxi,ROUND(L244*R244,NbDeci),0)</f>
        <v>0</v>
      </c>
      <c r="N244" s="134">
        <f>IF(OR(H244&lt;=Différé,H244&gt;NoEchMaxi),IF(DiffTotal,-M244,0),IF(H244&gt;=NoEchRemb,L244,IF(S244-(M244*EchFIXE)&gt;L244-2,L244,S244-(M244*EchFIXE))))+C244</f>
        <v>0</v>
      </c>
      <c r="O244" s="136">
        <f>IF(OR(L244=0,H244&gt;NoEchMaxi),0,ROUND(FraisF+FraisV*L244,NbDeci))+F244</f>
        <v>0</v>
      </c>
      <c r="P244" s="148">
        <f t="shared" si="3"/>
        <v>0</v>
      </c>
      <c r="Q244" s="1"/>
      <c r="R244" s="138">
        <f>IF(B244&gt;0,IF(TauxActuariel,((B244+1)^(1/NbEchAn))-1,B244/NbEchAn),R243)</f>
        <v>0.04</v>
      </c>
      <c r="S244" s="139">
        <f>IF(E244&gt;0,E244,IF(D244&gt;0,IF(AND(EchFIXE,R244&gt;0),ROUND((L244-C244)*R244/(1-((1+R244)^-D244)),NbDeci),ROUND(L244/D244,NbDeci)),S243))</f>
        <v>6664</v>
      </c>
      <c r="T244" s="1"/>
      <c r="U244" s="1"/>
      <c r="V244" s="1"/>
      <c r="W244" s="1"/>
      <c r="X244" s="1"/>
      <c r="Y244" s="1"/>
      <c r="Z244" s="1"/>
      <c r="AA244" s="1"/>
    </row>
    <row r="245" ht="12.75" customHeight="1">
      <c r="A245" s="1"/>
      <c r="B245" s="140"/>
      <c r="C245" s="141"/>
      <c r="D245" s="142"/>
      <c r="E245" s="143"/>
      <c r="F245" s="144"/>
      <c r="G245" s="1"/>
      <c r="H245" s="131" t="str">
        <f t="shared" si="4"/>
        <v/>
      </c>
      <c r="I245" s="132" t="str">
        <f>IF(L245&gt;0,NbEch+Différé+1-H245,"")</f>
        <v/>
      </c>
      <c r="J245" s="145" t="str">
        <f t="shared" si="2"/>
        <v/>
      </c>
      <c r="K245" s="146" t="str">
        <f>IF(L245=0,"",IF(Ijour=0,MIN(DATE(YEAR(DebAmort),MONTH(DebAmort)+(H245-1)*Imois,Jour1),DATE(YEAR(DebAmort),MONTH(DebAmort)+1+(H245-1)*Imois,0)),DATE(YEAR(DebAmort),MONTH(DebAmort),Jour1+(H245-1)*Ijour)))</f>
        <v/>
      </c>
      <c r="L245" s="147">
        <f t="shared" si="5"/>
        <v>0</v>
      </c>
      <c r="M245" s="135">
        <f>IF(H245&lt;=NoEchMaxi,ROUND(L245*R245,NbDeci),0)</f>
        <v>0</v>
      </c>
      <c r="N245" s="134">
        <f>IF(OR(H245&lt;=Différé,H245&gt;NoEchMaxi),IF(DiffTotal,-M245,0),IF(H245&gt;=NoEchRemb,L245,IF(S245-(M245*EchFIXE)&gt;L245-2,L245,S245-(M245*EchFIXE))))+C245</f>
        <v>0</v>
      </c>
      <c r="O245" s="136">
        <f>IF(OR(L245=0,H245&gt;NoEchMaxi),0,ROUND(FraisF+FraisV*L245,NbDeci))+F245</f>
        <v>0</v>
      </c>
      <c r="P245" s="148">
        <f t="shared" si="3"/>
        <v>0</v>
      </c>
      <c r="Q245" s="1"/>
      <c r="R245" s="138">
        <f>IF(B245&gt;0,IF(TauxActuariel,((B245+1)^(1/NbEchAn))-1,B245/NbEchAn),R244)</f>
        <v>0.04</v>
      </c>
      <c r="S245" s="139">
        <f>IF(E245&gt;0,E245,IF(D245&gt;0,IF(AND(EchFIXE,R245&gt;0),ROUND((L245-C245)*R245/(1-((1+R245)^-D245)),NbDeci),ROUND(L245/D245,NbDeci)),S244))</f>
        <v>6664</v>
      </c>
      <c r="T245" s="1"/>
      <c r="U245" s="1"/>
      <c r="V245" s="1"/>
      <c r="W245" s="1"/>
      <c r="X245" s="1"/>
      <c r="Y245" s="1"/>
      <c r="Z245" s="1"/>
      <c r="AA245" s="1"/>
    </row>
    <row r="246" ht="12.75" customHeight="1">
      <c r="A246" s="1"/>
      <c r="B246" s="140"/>
      <c r="C246" s="141"/>
      <c r="D246" s="142"/>
      <c r="E246" s="143"/>
      <c r="F246" s="144"/>
      <c r="G246" s="1"/>
      <c r="H246" s="131" t="str">
        <f t="shared" si="4"/>
        <v/>
      </c>
      <c r="I246" s="132" t="str">
        <f>IF(L246&gt;0,NbEch+Différé+1-H246,"")</f>
        <v/>
      </c>
      <c r="J246" s="145" t="str">
        <f t="shared" si="2"/>
        <v/>
      </c>
      <c r="K246" s="146" t="str">
        <f>IF(L246=0,"",IF(Ijour=0,MIN(DATE(YEAR(DebAmort),MONTH(DebAmort)+MoisD+(H246-1)*Imois,Jour2),DATE(YEAR(DebAmort),MONTH(DebAmort)+MoisD+1+(H246-1)*Imois,0)),DATE(YEAR(DebAmort),MONTH(DebAmort),Jour1+(H246-1)*Ijour)))</f>
        <v/>
      </c>
      <c r="L246" s="147">
        <f t="shared" si="5"/>
        <v>0</v>
      </c>
      <c r="M246" s="135">
        <f>IF(H246&lt;=NoEchMaxi,ROUND(L246*R246,NbDeci),0)</f>
        <v>0</v>
      </c>
      <c r="N246" s="134">
        <f>IF(OR(H246&lt;=Différé,H246&gt;NoEchMaxi),IF(DiffTotal,-M246,0),IF(H246&gt;=NoEchRemb,L246,IF(S246-(M246*EchFIXE)&gt;L246-2,L246,S246-(M246*EchFIXE))))+C246</f>
        <v>0</v>
      </c>
      <c r="O246" s="136">
        <f>IF(OR(L246=0,H246&gt;NoEchMaxi),0,ROUND(FraisF+FraisV*L246,NbDeci))+F246</f>
        <v>0</v>
      </c>
      <c r="P246" s="148">
        <f t="shared" si="3"/>
        <v>0</v>
      </c>
      <c r="Q246" s="1"/>
      <c r="R246" s="138">
        <f>IF(B246&gt;0,IF(TauxActuariel,((B246+1)^(1/NbEchAn))-1,B246/NbEchAn),R245)</f>
        <v>0.04</v>
      </c>
      <c r="S246" s="139">
        <f>IF(E246&gt;0,E246,IF(D246&gt;0,IF(AND(EchFIXE,R246&gt;0),ROUND((L246-C246)*R246/(1-((1+R246)^-D246)),NbDeci),ROUND(L246/D246,NbDeci)),S245))</f>
        <v>6664</v>
      </c>
      <c r="T246" s="1"/>
      <c r="U246" s="1"/>
      <c r="V246" s="1"/>
      <c r="W246" s="1"/>
      <c r="X246" s="1"/>
      <c r="Y246" s="1"/>
      <c r="Z246" s="1"/>
      <c r="AA246" s="1"/>
    </row>
    <row r="247" ht="12.75" customHeight="1">
      <c r="A247" s="1"/>
      <c r="B247" s="140"/>
      <c r="C247" s="141"/>
      <c r="D247" s="142"/>
      <c r="E247" s="143"/>
      <c r="F247" s="144"/>
      <c r="G247" s="1"/>
      <c r="H247" s="131" t="str">
        <f t="shared" si="4"/>
        <v/>
      </c>
      <c r="I247" s="132" t="str">
        <f>IF(L247&gt;0,NbEch+Différé+1-H247,"")</f>
        <v/>
      </c>
      <c r="J247" s="145" t="str">
        <f t="shared" si="2"/>
        <v/>
      </c>
      <c r="K247" s="146" t="str">
        <f>IF(L247=0,"",IF(Ijour=0,MIN(DATE(YEAR(DebAmort),MONTH(DebAmort)+(H247-1)*Imois,Jour1),DATE(YEAR(DebAmort),MONTH(DebAmort)+1+(H247-1)*Imois,0)),DATE(YEAR(DebAmort),MONTH(DebAmort),Jour1+(H247-1)*Ijour)))</f>
        <v/>
      </c>
      <c r="L247" s="147">
        <f t="shared" si="5"/>
        <v>0</v>
      </c>
      <c r="M247" s="135">
        <f>IF(H247&lt;=NoEchMaxi,ROUND(L247*R247,NbDeci),0)</f>
        <v>0</v>
      </c>
      <c r="N247" s="134">
        <f>IF(OR(H247&lt;=Différé,H247&gt;NoEchMaxi),IF(DiffTotal,-M247,0),IF(H247&gt;=NoEchRemb,L247,IF(S247-(M247*EchFIXE)&gt;L247-2,L247,S247-(M247*EchFIXE))))+C247</f>
        <v>0</v>
      </c>
      <c r="O247" s="136">
        <f>IF(OR(L247=0,H247&gt;NoEchMaxi),0,ROUND(FraisF+FraisV*L247,NbDeci))+F247</f>
        <v>0</v>
      </c>
      <c r="P247" s="148">
        <f t="shared" si="3"/>
        <v>0</v>
      </c>
      <c r="Q247" s="1"/>
      <c r="R247" s="138">
        <f>IF(B247&gt;0,IF(TauxActuariel,((B247+1)^(1/NbEchAn))-1,B247/NbEchAn),R246)</f>
        <v>0.04</v>
      </c>
      <c r="S247" s="139">
        <f>IF(E247&gt;0,E247,IF(D247&gt;0,IF(AND(EchFIXE,R247&gt;0),ROUND((L247-C247)*R247/(1-((1+R247)^-D247)),NbDeci),ROUND(L247/D247,NbDeci)),S246))</f>
        <v>6664</v>
      </c>
      <c r="T247" s="1"/>
      <c r="U247" s="1"/>
      <c r="V247" s="1"/>
      <c r="W247" s="1"/>
      <c r="X247" s="1"/>
      <c r="Y247" s="1"/>
      <c r="Z247" s="1"/>
      <c r="AA247" s="1"/>
    </row>
    <row r="248" ht="12.75" customHeight="1">
      <c r="A248" s="1"/>
      <c r="B248" s="140"/>
      <c r="C248" s="141"/>
      <c r="D248" s="142"/>
      <c r="E248" s="143"/>
      <c r="F248" s="144"/>
      <c r="G248" s="1"/>
      <c r="H248" s="131" t="str">
        <f t="shared" si="4"/>
        <v/>
      </c>
      <c r="I248" s="132" t="str">
        <f>IF(L248&gt;0,NbEch+Différé+1-H248,"")</f>
        <v/>
      </c>
      <c r="J248" s="145" t="str">
        <f t="shared" si="2"/>
        <v/>
      </c>
      <c r="K248" s="146" t="str">
        <f>IF(L248=0,"",IF(Ijour=0,MIN(DATE(YEAR(DebAmort),MONTH(DebAmort)+MoisD+(H248-1)*Imois,Jour2),DATE(YEAR(DebAmort),MONTH(DebAmort)+MoisD+1+(H248-1)*Imois,0)),DATE(YEAR(DebAmort),MONTH(DebAmort),Jour1+(H248-1)*Ijour)))</f>
        <v/>
      </c>
      <c r="L248" s="147">
        <f t="shared" si="5"/>
        <v>0</v>
      </c>
      <c r="M248" s="135">
        <f>IF(H248&lt;=NoEchMaxi,ROUND(L248*R248,NbDeci),0)</f>
        <v>0</v>
      </c>
      <c r="N248" s="134">
        <f>IF(OR(H248&lt;=Différé,H248&gt;NoEchMaxi),IF(DiffTotal,-M248,0),IF(H248&gt;=NoEchRemb,L248,IF(S248-(M248*EchFIXE)&gt;L248-2,L248,S248-(M248*EchFIXE))))+C248</f>
        <v>0</v>
      </c>
      <c r="O248" s="136">
        <f>IF(OR(L248=0,H248&gt;NoEchMaxi),0,ROUND(FraisF+FraisV*L248,NbDeci))+F248</f>
        <v>0</v>
      </c>
      <c r="P248" s="148">
        <f t="shared" si="3"/>
        <v>0</v>
      </c>
      <c r="Q248" s="1"/>
      <c r="R248" s="138">
        <f>IF(B248&gt;0,IF(TauxActuariel,((B248+1)^(1/NbEchAn))-1,B248/NbEchAn),R247)</f>
        <v>0.04</v>
      </c>
      <c r="S248" s="139">
        <f>IF(E248&gt;0,E248,IF(D248&gt;0,IF(AND(EchFIXE,R248&gt;0),ROUND((L248-C248)*R248/(1-((1+R248)^-D248)),NbDeci),ROUND(L248/D248,NbDeci)),S247))</f>
        <v>6664</v>
      </c>
      <c r="T248" s="1"/>
      <c r="U248" s="1"/>
      <c r="V248" s="1"/>
      <c r="W248" s="1"/>
      <c r="X248" s="1"/>
      <c r="Y248" s="1"/>
      <c r="Z248" s="1"/>
      <c r="AA248" s="1"/>
    </row>
    <row r="249" ht="12.75" customHeight="1">
      <c r="A249" s="1"/>
      <c r="B249" s="140"/>
      <c r="C249" s="141"/>
      <c r="D249" s="142"/>
      <c r="E249" s="143"/>
      <c r="F249" s="144"/>
      <c r="G249" s="1"/>
      <c r="H249" s="131" t="str">
        <f t="shared" si="4"/>
        <v/>
      </c>
      <c r="I249" s="132" t="str">
        <f>IF(L249&gt;0,NbEch+Différé+1-H249,"")</f>
        <v/>
      </c>
      <c r="J249" s="145" t="str">
        <f t="shared" si="2"/>
        <v/>
      </c>
      <c r="K249" s="146" t="str">
        <f>IF(L249=0,"",IF(Ijour=0,MIN(DATE(YEAR(DebAmort),MONTH(DebAmort)+(H249-1)*Imois,Jour1),DATE(YEAR(DebAmort),MONTH(DebAmort)+1+(H249-1)*Imois,0)),DATE(YEAR(DebAmort),MONTH(DebAmort),Jour1+(H249-1)*Ijour)))</f>
        <v/>
      </c>
      <c r="L249" s="147">
        <f t="shared" si="5"/>
        <v>0</v>
      </c>
      <c r="M249" s="135">
        <f>IF(H249&lt;=NoEchMaxi,ROUND(L249*R249,NbDeci),0)</f>
        <v>0</v>
      </c>
      <c r="N249" s="134">
        <f>IF(OR(H249&lt;=Différé,H249&gt;NoEchMaxi),IF(DiffTotal,-M249,0),IF(H249&gt;=NoEchRemb,L249,IF(S249-(M249*EchFIXE)&gt;L249-2,L249,S249-(M249*EchFIXE))))+C249</f>
        <v>0</v>
      </c>
      <c r="O249" s="136">
        <f>IF(OR(L249=0,H249&gt;NoEchMaxi),0,ROUND(FraisF+FraisV*L249,NbDeci))+F249</f>
        <v>0</v>
      </c>
      <c r="P249" s="148">
        <f t="shared" si="3"/>
        <v>0</v>
      </c>
      <c r="Q249" s="1"/>
      <c r="R249" s="138">
        <f>IF(B249&gt;0,IF(TauxActuariel,((B249+1)^(1/NbEchAn))-1,B249/NbEchAn),R248)</f>
        <v>0.04</v>
      </c>
      <c r="S249" s="139">
        <f>IF(E249&gt;0,E249,IF(D249&gt;0,IF(AND(EchFIXE,R249&gt;0),ROUND((L249-C249)*R249/(1-((1+R249)^-D249)),NbDeci),ROUND(L249/D249,NbDeci)),S248))</f>
        <v>6664</v>
      </c>
      <c r="T249" s="1"/>
      <c r="U249" s="1"/>
      <c r="V249" s="1"/>
      <c r="W249" s="1"/>
      <c r="X249" s="1"/>
      <c r="Y249" s="1"/>
      <c r="Z249" s="1"/>
      <c r="AA249" s="1"/>
    </row>
    <row r="250" ht="12.75" customHeight="1">
      <c r="A250" s="1"/>
      <c r="B250" s="140"/>
      <c r="C250" s="141"/>
      <c r="D250" s="142"/>
      <c r="E250" s="143"/>
      <c r="F250" s="144"/>
      <c r="G250" s="1"/>
      <c r="H250" s="131" t="str">
        <f t="shared" si="4"/>
        <v/>
      </c>
      <c r="I250" s="132" t="str">
        <f>IF(L250&gt;0,NbEch+Différé+1-H250,"")</f>
        <v/>
      </c>
      <c r="J250" s="145" t="str">
        <f t="shared" si="2"/>
        <v/>
      </c>
      <c r="K250" s="146" t="str">
        <f>IF(L250=0,"",IF(Ijour=0,MIN(DATE(YEAR(DebAmort),MONTH(DebAmort)+MoisD+(H250-1)*Imois,Jour2),DATE(YEAR(DebAmort),MONTH(DebAmort)+MoisD+1+(H250-1)*Imois,0)),DATE(YEAR(DebAmort),MONTH(DebAmort),Jour1+(H250-1)*Ijour)))</f>
        <v/>
      </c>
      <c r="L250" s="147">
        <f t="shared" si="5"/>
        <v>0</v>
      </c>
      <c r="M250" s="135">
        <f>IF(H250&lt;=NoEchMaxi,ROUND(L250*R250,NbDeci),0)</f>
        <v>0</v>
      </c>
      <c r="N250" s="134">
        <f>IF(OR(H250&lt;=Différé,H250&gt;NoEchMaxi),IF(DiffTotal,-M250,0),IF(H250&gt;=NoEchRemb,L250,IF(S250-(M250*EchFIXE)&gt;L250-2,L250,S250-(M250*EchFIXE))))+C250</f>
        <v>0</v>
      </c>
      <c r="O250" s="136">
        <f>IF(OR(L250=0,H250&gt;NoEchMaxi),0,ROUND(FraisF+FraisV*L250,NbDeci))+F250</f>
        <v>0</v>
      </c>
      <c r="P250" s="148">
        <f t="shared" si="3"/>
        <v>0</v>
      </c>
      <c r="Q250" s="1"/>
      <c r="R250" s="138">
        <f>IF(B250&gt;0,IF(TauxActuariel,((B250+1)^(1/NbEchAn))-1,B250/NbEchAn),R249)</f>
        <v>0.04</v>
      </c>
      <c r="S250" s="139">
        <f>IF(E250&gt;0,E250,IF(D250&gt;0,IF(AND(EchFIXE,R250&gt;0),ROUND((L250-C250)*R250/(1-((1+R250)^-D250)),NbDeci),ROUND(L250/D250,NbDeci)),S249))</f>
        <v>6664</v>
      </c>
      <c r="T250" s="1"/>
      <c r="U250" s="1"/>
      <c r="V250" s="1"/>
      <c r="W250" s="1"/>
      <c r="X250" s="1"/>
      <c r="Y250" s="1"/>
      <c r="Z250" s="1"/>
      <c r="AA250" s="1"/>
    </row>
    <row r="251" ht="12.75" customHeight="1">
      <c r="A251" s="1"/>
      <c r="B251" s="140"/>
      <c r="C251" s="141"/>
      <c r="D251" s="142"/>
      <c r="E251" s="143"/>
      <c r="F251" s="144"/>
      <c r="G251" s="1"/>
      <c r="H251" s="131" t="str">
        <f t="shared" si="4"/>
        <v/>
      </c>
      <c r="I251" s="132" t="str">
        <f>IF(L251&gt;0,NbEch+Différé+1-H251,"")</f>
        <v/>
      </c>
      <c r="J251" s="145" t="str">
        <f t="shared" si="2"/>
        <v/>
      </c>
      <c r="K251" s="146" t="str">
        <f>IF(L251=0,"",IF(Ijour=0,MIN(DATE(YEAR(DebAmort),MONTH(DebAmort)+(H251-1)*Imois,Jour1),DATE(YEAR(DebAmort),MONTH(DebAmort)+1+(H251-1)*Imois,0)),DATE(YEAR(DebAmort),MONTH(DebAmort),Jour1+(H251-1)*Ijour)))</f>
        <v/>
      </c>
      <c r="L251" s="147">
        <f t="shared" si="5"/>
        <v>0</v>
      </c>
      <c r="M251" s="135">
        <f>IF(H251&lt;=NoEchMaxi,ROUND(L251*R251,NbDeci),0)</f>
        <v>0</v>
      </c>
      <c r="N251" s="134">
        <f>IF(OR(H251&lt;=Différé,H251&gt;NoEchMaxi),IF(DiffTotal,-M251,0),IF(H251&gt;=NoEchRemb,L251,IF(S251-(M251*EchFIXE)&gt;L251-2,L251,S251-(M251*EchFIXE))))+C251</f>
        <v>0</v>
      </c>
      <c r="O251" s="136">
        <f>IF(OR(L251=0,H251&gt;NoEchMaxi),0,ROUND(FraisF+FraisV*L251,NbDeci))+F251</f>
        <v>0</v>
      </c>
      <c r="P251" s="148">
        <f t="shared" si="3"/>
        <v>0</v>
      </c>
      <c r="Q251" s="1"/>
      <c r="R251" s="138">
        <f>IF(B251&gt;0,IF(TauxActuariel,((B251+1)^(1/NbEchAn))-1,B251/NbEchAn),R250)</f>
        <v>0.04</v>
      </c>
      <c r="S251" s="139">
        <f>IF(E251&gt;0,E251,IF(D251&gt;0,IF(AND(EchFIXE,R251&gt;0),ROUND((L251-C251)*R251/(1-((1+R251)^-D251)),NbDeci),ROUND(L251/D251,NbDeci)),S250))</f>
        <v>6664</v>
      </c>
      <c r="T251" s="1"/>
      <c r="U251" s="1"/>
      <c r="V251" s="1"/>
      <c r="W251" s="1"/>
      <c r="X251" s="1"/>
      <c r="Y251" s="1"/>
      <c r="Z251" s="1"/>
      <c r="AA251" s="1"/>
    </row>
    <row r="252" ht="12.75" customHeight="1">
      <c r="A252" s="1"/>
      <c r="B252" s="140"/>
      <c r="C252" s="141"/>
      <c r="D252" s="142"/>
      <c r="E252" s="143"/>
      <c r="F252" s="144"/>
      <c r="G252" s="1"/>
      <c r="H252" s="131" t="str">
        <f t="shared" si="4"/>
        <v/>
      </c>
      <c r="I252" s="132" t="str">
        <f>IF(L252&gt;0,NbEch+Différé+1-H252,"")</f>
        <v/>
      </c>
      <c r="J252" s="145" t="str">
        <f t="shared" si="2"/>
        <v/>
      </c>
      <c r="K252" s="146" t="str">
        <f>IF(L252=0,"",IF(Ijour=0,MIN(DATE(YEAR(DebAmort),MONTH(DebAmort)+MoisD+(H252-1)*Imois,Jour2),DATE(YEAR(DebAmort),MONTH(DebAmort)+MoisD+1+(H252-1)*Imois,0)),DATE(YEAR(DebAmort),MONTH(DebAmort),Jour1+(H252-1)*Ijour)))</f>
        <v/>
      </c>
      <c r="L252" s="147">
        <f t="shared" si="5"/>
        <v>0</v>
      </c>
      <c r="M252" s="135">
        <f>IF(H252&lt;=NoEchMaxi,ROUND(L252*R252,NbDeci),0)</f>
        <v>0</v>
      </c>
      <c r="N252" s="134">
        <f>IF(OR(H252&lt;=Différé,H252&gt;NoEchMaxi),IF(DiffTotal,-M252,0),IF(H252&gt;=NoEchRemb,L252,IF(S252-(M252*EchFIXE)&gt;L252-2,L252,S252-(M252*EchFIXE))))+C252</f>
        <v>0</v>
      </c>
      <c r="O252" s="136">
        <f>IF(OR(L252=0,H252&gt;NoEchMaxi),0,ROUND(FraisF+FraisV*L252,NbDeci))+F252</f>
        <v>0</v>
      </c>
      <c r="P252" s="148">
        <f t="shared" si="3"/>
        <v>0</v>
      </c>
      <c r="Q252" s="1"/>
      <c r="R252" s="138">
        <f>IF(B252&gt;0,IF(TauxActuariel,((B252+1)^(1/NbEchAn))-1,B252/NbEchAn),R251)</f>
        <v>0.04</v>
      </c>
      <c r="S252" s="139">
        <f>IF(E252&gt;0,E252,IF(D252&gt;0,IF(AND(EchFIXE,R252&gt;0),ROUND((L252-C252)*R252/(1-((1+R252)^-D252)),NbDeci),ROUND(L252/D252,NbDeci)),S251))</f>
        <v>6664</v>
      </c>
      <c r="T252" s="1"/>
      <c r="U252" s="1"/>
      <c r="V252" s="1"/>
      <c r="W252" s="1"/>
      <c r="X252" s="1"/>
      <c r="Y252" s="1"/>
      <c r="Z252" s="1"/>
      <c r="AA252" s="1"/>
    </row>
    <row r="253" ht="12.75" customHeight="1">
      <c r="A253" s="1"/>
      <c r="B253" s="140"/>
      <c r="C253" s="141"/>
      <c r="D253" s="142"/>
      <c r="E253" s="143"/>
      <c r="F253" s="144"/>
      <c r="G253" s="1"/>
      <c r="H253" s="131" t="str">
        <f t="shared" si="4"/>
        <v/>
      </c>
      <c r="I253" s="132" t="str">
        <f>IF(L253&gt;0,NbEch+Différé+1-H253,"")</f>
        <v/>
      </c>
      <c r="J253" s="145" t="str">
        <f t="shared" si="2"/>
        <v/>
      </c>
      <c r="K253" s="146" t="str">
        <f>IF(L253=0,"",IF(Ijour=0,MIN(DATE(YEAR(DebAmort),MONTH(DebAmort)+(H253-1)*Imois,Jour1),DATE(YEAR(DebAmort),MONTH(DebAmort)+1+(H253-1)*Imois,0)),DATE(YEAR(DebAmort),MONTH(DebAmort),Jour1+(H253-1)*Ijour)))</f>
        <v/>
      </c>
      <c r="L253" s="147">
        <f t="shared" si="5"/>
        <v>0</v>
      </c>
      <c r="M253" s="135">
        <f>IF(H253&lt;=NoEchMaxi,ROUND(L253*R253,NbDeci),0)</f>
        <v>0</v>
      </c>
      <c r="N253" s="134">
        <f>IF(OR(H253&lt;=Différé,H253&gt;NoEchMaxi),IF(DiffTotal,-M253,0),IF(H253&gt;=NoEchRemb,L253,IF(S253-(M253*EchFIXE)&gt;L253-2,L253,S253-(M253*EchFIXE))))+C253</f>
        <v>0</v>
      </c>
      <c r="O253" s="136">
        <f>IF(OR(L253=0,H253&gt;NoEchMaxi),0,ROUND(FraisF+FraisV*L253,NbDeci))+F253</f>
        <v>0</v>
      </c>
      <c r="P253" s="148">
        <f t="shared" si="3"/>
        <v>0</v>
      </c>
      <c r="Q253" s="1"/>
      <c r="R253" s="138">
        <f>IF(B253&gt;0,IF(TauxActuariel,((B253+1)^(1/NbEchAn))-1,B253/NbEchAn),R252)</f>
        <v>0.04</v>
      </c>
      <c r="S253" s="139">
        <f>IF(E253&gt;0,E253,IF(D253&gt;0,IF(AND(EchFIXE,R253&gt;0),ROUND((L253-C253)*R253/(1-((1+R253)^-D253)),NbDeci),ROUND(L253/D253,NbDeci)),S252))</f>
        <v>6664</v>
      </c>
      <c r="T253" s="1"/>
      <c r="U253" s="1"/>
      <c r="V253" s="1"/>
      <c r="W253" s="1"/>
      <c r="X253" s="1"/>
      <c r="Y253" s="1"/>
      <c r="Z253" s="1"/>
      <c r="AA253" s="1"/>
    </row>
    <row r="254" ht="12.75" customHeight="1">
      <c r="A254" s="1"/>
      <c r="B254" s="140"/>
      <c r="C254" s="141"/>
      <c r="D254" s="142"/>
      <c r="E254" s="143"/>
      <c r="F254" s="144"/>
      <c r="G254" s="1"/>
      <c r="H254" s="131" t="str">
        <f t="shared" si="4"/>
        <v/>
      </c>
      <c r="I254" s="132" t="str">
        <f>IF(L254&gt;0,NbEch+Différé+1-H254,"")</f>
        <v/>
      </c>
      <c r="J254" s="145" t="str">
        <f t="shared" si="2"/>
        <v/>
      </c>
      <c r="K254" s="146" t="str">
        <f>IF(L254=0,"",IF(Ijour=0,MIN(DATE(YEAR(DebAmort),MONTH(DebAmort)+MoisD+(H254-1)*Imois,Jour2),DATE(YEAR(DebAmort),MONTH(DebAmort)+MoisD+1+(H254-1)*Imois,0)),DATE(YEAR(DebAmort),MONTH(DebAmort),Jour1+(H254-1)*Ijour)))</f>
        <v/>
      </c>
      <c r="L254" s="147">
        <f t="shared" si="5"/>
        <v>0</v>
      </c>
      <c r="M254" s="135">
        <f>IF(H254&lt;=NoEchMaxi,ROUND(L254*R254,NbDeci),0)</f>
        <v>0</v>
      </c>
      <c r="N254" s="134">
        <f>IF(OR(H254&lt;=Différé,H254&gt;NoEchMaxi),IF(DiffTotal,-M254,0),IF(H254&gt;=NoEchRemb,L254,IF(S254-(M254*EchFIXE)&gt;L254-2,L254,S254-(M254*EchFIXE))))+C254</f>
        <v>0</v>
      </c>
      <c r="O254" s="136">
        <f>IF(OR(L254=0,H254&gt;NoEchMaxi),0,ROUND(FraisF+FraisV*L254,NbDeci))+F254</f>
        <v>0</v>
      </c>
      <c r="P254" s="148">
        <f t="shared" si="3"/>
        <v>0</v>
      </c>
      <c r="Q254" s="1"/>
      <c r="R254" s="138">
        <f>IF(B254&gt;0,IF(TauxActuariel,((B254+1)^(1/NbEchAn))-1,B254/NbEchAn),R253)</f>
        <v>0.04</v>
      </c>
      <c r="S254" s="139">
        <f>IF(E254&gt;0,E254,IF(D254&gt;0,IF(AND(EchFIXE,R254&gt;0),ROUND((L254-C254)*R254/(1-((1+R254)^-D254)),NbDeci),ROUND(L254/D254,NbDeci)),S253))</f>
        <v>6664</v>
      </c>
      <c r="T254" s="1"/>
      <c r="U254" s="1"/>
      <c r="V254" s="1"/>
      <c r="W254" s="1"/>
      <c r="X254" s="1"/>
      <c r="Y254" s="1"/>
      <c r="Z254" s="1"/>
      <c r="AA254" s="1"/>
    </row>
    <row r="255" ht="12.75" customHeight="1">
      <c r="A255" s="1"/>
      <c r="B255" s="140"/>
      <c r="C255" s="141"/>
      <c r="D255" s="142"/>
      <c r="E255" s="143"/>
      <c r="F255" s="144"/>
      <c r="G255" s="1"/>
      <c r="H255" s="131" t="str">
        <f t="shared" si="4"/>
        <v/>
      </c>
      <c r="I255" s="132" t="str">
        <f>IF(L255&gt;0,NbEch+Différé+1-H255,"")</f>
        <v/>
      </c>
      <c r="J255" s="145" t="str">
        <f t="shared" si="2"/>
        <v/>
      </c>
      <c r="K255" s="146" t="str">
        <f>IF(L255=0,"",IF(Ijour=0,MIN(DATE(YEAR(DebAmort),MONTH(DebAmort)+(H255-1)*Imois,Jour1),DATE(YEAR(DebAmort),MONTH(DebAmort)+1+(H255-1)*Imois,0)),DATE(YEAR(DebAmort),MONTH(DebAmort),Jour1+(H255-1)*Ijour)))</f>
        <v/>
      </c>
      <c r="L255" s="147">
        <f t="shared" si="5"/>
        <v>0</v>
      </c>
      <c r="M255" s="135">
        <f>IF(H255&lt;=NoEchMaxi,ROUND(L255*R255,NbDeci),0)</f>
        <v>0</v>
      </c>
      <c r="N255" s="134">
        <f>IF(OR(H255&lt;=Différé,H255&gt;NoEchMaxi),IF(DiffTotal,-M255,0),IF(H255&gt;=NoEchRemb,L255,IF(S255-(M255*EchFIXE)&gt;L255-2,L255,S255-(M255*EchFIXE))))+C255</f>
        <v>0</v>
      </c>
      <c r="O255" s="136">
        <f>IF(OR(L255=0,H255&gt;NoEchMaxi),0,ROUND(FraisF+FraisV*L255,NbDeci))+F255</f>
        <v>0</v>
      </c>
      <c r="P255" s="148">
        <f t="shared" si="3"/>
        <v>0</v>
      </c>
      <c r="Q255" s="1"/>
      <c r="R255" s="138">
        <f>IF(B255&gt;0,IF(TauxActuariel,((B255+1)^(1/NbEchAn))-1,B255/NbEchAn),R254)</f>
        <v>0.04</v>
      </c>
      <c r="S255" s="139">
        <f>IF(E255&gt;0,E255,IF(D255&gt;0,IF(AND(EchFIXE,R255&gt;0),ROUND((L255-C255)*R255/(1-((1+R255)^-D255)),NbDeci),ROUND(L255/D255,NbDeci)),S254))</f>
        <v>6664</v>
      </c>
      <c r="T255" s="1"/>
      <c r="U255" s="1"/>
      <c r="V255" s="1"/>
      <c r="W255" s="1"/>
      <c r="X255" s="1"/>
      <c r="Y255" s="1"/>
      <c r="Z255" s="1"/>
      <c r="AA255" s="1"/>
    </row>
    <row r="256" ht="12.75" customHeight="1">
      <c r="A256" s="1"/>
      <c r="B256" s="140"/>
      <c r="C256" s="141"/>
      <c r="D256" s="142"/>
      <c r="E256" s="143"/>
      <c r="F256" s="144"/>
      <c r="G256" s="1"/>
      <c r="H256" s="131" t="str">
        <f t="shared" si="4"/>
        <v/>
      </c>
      <c r="I256" s="132" t="str">
        <f>IF(L256&gt;0,NbEch+Différé+1-H256,"")</f>
        <v/>
      </c>
      <c r="J256" s="145" t="str">
        <f t="shared" si="2"/>
        <v/>
      </c>
      <c r="K256" s="146" t="str">
        <f>IF(L256=0,"",IF(Ijour=0,MIN(DATE(YEAR(DebAmort),MONTH(DebAmort)+MoisD+(H256-1)*Imois,Jour2),DATE(YEAR(DebAmort),MONTH(DebAmort)+MoisD+1+(H256-1)*Imois,0)),DATE(YEAR(DebAmort),MONTH(DebAmort),Jour1+(H256-1)*Ijour)))</f>
        <v/>
      </c>
      <c r="L256" s="147">
        <f t="shared" si="5"/>
        <v>0</v>
      </c>
      <c r="M256" s="135">
        <f>IF(H256&lt;=NoEchMaxi,ROUND(L256*R256,NbDeci),0)</f>
        <v>0</v>
      </c>
      <c r="N256" s="134">
        <f>IF(OR(H256&lt;=Différé,H256&gt;NoEchMaxi),IF(DiffTotal,-M256,0),IF(H256&gt;=NoEchRemb,L256,IF(S256-(M256*EchFIXE)&gt;L256-2,L256,S256-(M256*EchFIXE))))+C256</f>
        <v>0</v>
      </c>
      <c r="O256" s="136">
        <f>IF(OR(L256=0,H256&gt;NoEchMaxi),0,ROUND(FraisF+FraisV*L256,NbDeci))+F256</f>
        <v>0</v>
      </c>
      <c r="P256" s="148">
        <f t="shared" si="3"/>
        <v>0</v>
      </c>
      <c r="Q256" s="1"/>
      <c r="R256" s="138">
        <f>IF(B256&gt;0,IF(TauxActuariel,((B256+1)^(1/NbEchAn))-1,B256/NbEchAn),R255)</f>
        <v>0.04</v>
      </c>
      <c r="S256" s="139">
        <f>IF(E256&gt;0,E256,IF(D256&gt;0,IF(AND(EchFIXE,R256&gt;0),ROUND((L256-C256)*R256/(1-((1+R256)^-D256)),NbDeci),ROUND(L256/D256,NbDeci)),S255))</f>
        <v>6664</v>
      </c>
      <c r="T256" s="1"/>
      <c r="U256" s="1"/>
      <c r="V256" s="1"/>
      <c r="W256" s="1"/>
      <c r="X256" s="1"/>
      <c r="Y256" s="1"/>
      <c r="Z256" s="1"/>
      <c r="AA256" s="1"/>
    </row>
    <row r="257" ht="12.75" customHeight="1">
      <c r="A257" s="1"/>
      <c r="B257" s="140"/>
      <c r="C257" s="141"/>
      <c r="D257" s="142"/>
      <c r="E257" s="143"/>
      <c r="F257" s="144"/>
      <c r="G257" s="1"/>
      <c r="H257" s="131" t="str">
        <f t="shared" si="4"/>
        <v/>
      </c>
      <c r="I257" s="132" t="str">
        <f>IF(L257&gt;0,NbEch+Différé+1-H257,"")</f>
        <v/>
      </c>
      <c r="J257" s="145" t="str">
        <f t="shared" si="2"/>
        <v/>
      </c>
      <c r="K257" s="146" t="str">
        <f>IF(L257=0,"",IF(Ijour=0,MIN(DATE(YEAR(DebAmort),MONTH(DebAmort)+(H257-1)*Imois,Jour1),DATE(YEAR(DebAmort),MONTH(DebAmort)+1+(H257-1)*Imois,0)),DATE(YEAR(DebAmort),MONTH(DebAmort),Jour1+(H257-1)*Ijour)))</f>
        <v/>
      </c>
      <c r="L257" s="147">
        <f t="shared" si="5"/>
        <v>0</v>
      </c>
      <c r="M257" s="135">
        <f>IF(H257&lt;=NoEchMaxi,ROUND(L257*R257,NbDeci),0)</f>
        <v>0</v>
      </c>
      <c r="N257" s="134">
        <f>IF(OR(H257&lt;=Différé,H257&gt;NoEchMaxi),IF(DiffTotal,-M257,0),IF(H257&gt;=NoEchRemb,L257,IF(S257-(M257*EchFIXE)&gt;L257-2,L257,S257-(M257*EchFIXE))))+C257</f>
        <v>0</v>
      </c>
      <c r="O257" s="136">
        <f>IF(OR(L257=0,H257&gt;NoEchMaxi),0,ROUND(FraisF+FraisV*L257,NbDeci))+F257</f>
        <v>0</v>
      </c>
      <c r="P257" s="148">
        <f t="shared" si="3"/>
        <v>0</v>
      </c>
      <c r="Q257" s="1"/>
      <c r="R257" s="138">
        <f>IF(B257&gt;0,IF(TauxActuariel,((B257+1)^(1/NbEchAn))-1,B257/NbEchAn),R256)</f>
        <v>0.04</v>
      </c>
      <c r="S257" s="139">
        <f>IF(E257&gt;0,E257,IF(D257&gt;0,IF(AND(EchFIXE,R257&gt;0),ROUND((L257-C257)*R257/(1-((1+R257)^-D257)),NbDeci),ROUND(L257/D257,NbDeci)),S256))</f>
        <v>6664</v>
      </c>
      <c r="T257" s="1"/>
      <c r="U257" s="1"/>
      <c r="V257" s="1"/>
      <c r="W257" s="1"/>
      <c r="X257" s="1"/>
      <c r="Y257" s="1"/>
      <c r="Z257" s="1"/>
      <c r="AA257" s="1"/>
    </row>
    <row r="258" ht="12.75" customHeight="1">
      <c r="A258" s="1"/>
      <c r="B258" s="140"/>
      <c r="C258" s="141"/>
      <c r="D258" s="142"/>
      <c r="E258" s="143"/>
      <c r="F258" s="144"/>
      <c r="G258" s="1"/>
      <c r="H258" s="131" t="str">
        <f t="shared" si="4"/>
        <v/>
      </c>
      <c r="I258" s="132" t="str">
        <f>IF(L258&gt;0,NbEch+Différé+1-H258,"")</f>
        <v/>
      </c>
      <c r="J258" s="145" t="str">
        <f t="shared" si="2"/>
        <v/>
      </c>
      <c r="K258" s="146" t="str">
        <f>IF(L258=0,"",IF(Ijour=0,MIN(DATE(YEAR(DebAmort),MONTH(DebAmort)+MoisD+(H258-1)*Imois,Jour2),DATE(YEAR(DebAmort),MONTH(DebAmort)+MoisD+1+(H258-1)*Imois,0)),DATE(YEAR(DebAmort),MONTH(DebAmort),Jour1+(H258-1)*Ijour)))</f>
        <v/>
      </c>
      <c r="L258" s="147">
        <f t="shared" si="5"/>
        <v>0</v>
      </c>
      <c r="M258" s="135">
        <f>IF(H258&lt;=NoEchMaxi,ROUND(L258*R258,NbDeci),0)</f>
        <v>0</v>
      </c>
      <c r="N258" s="134">
        <f>IF(OR(H258&lt;=Différé,H258&gt;NoEchMaxi),IF(DiffTotal,-M258,0),IF(H258&gt;=NoEchRemb,L258,IF(S258-(M258*EchFIXE)&gt;L258-2,L258,S258-(M258*EchFIXE))))+C258</f>
        <v>0</v>
      </c>
      <c r="O258" s="136">
        <f>IF(OR(L258=0,H258&gt;NoEchMaxi),0,ROUND(FraisF+FraisV*L258,NbDeci))+F258</f>
        <v>0</v>
      </c>
      <c r="P258" s="148">
        <f t="shared" si="3"/>
        <v>0</v>
      </c>
      <c r="Q258" s="1"/>
      <c r="R258" s="138">
        <f>IF(B258&gt;0,IF(TauxActuariel,((B258+1)^(1/NbEchAn))-1,B258/NbEchAn),R257)</f>
        <v>0.04</v>
      </c>
      <c r="S258" s="139">
        <f>IF(E258&gt;0,E258,IF(D258&gt;0,IF(AND(EchFIXE,R258&gt;0),ROUND((L258-C258)*R258/(1-((1+R258)^-D258)),NbDeci),ROUND(L258/D258,NbDeci)),S257))</f>
        <v>6664</v>
      </c>
      <c r="T258" s="1"/>
      <c r="U258" s="1"/>
      <c r="V258" s="1"/>
      <c r="W258" s="1"/>
      <c r="X258" s="1"/>
      <c r="Y258" s="1"/>
      <c r="Z258" s="1"/>
      <c r="AA258" s="1"/>
    </row>
    <row r="259" ht="12.75" customHeight="1">
      <c r="A259" s="1"/>
      <c r="B259" s="140"/>
      <c r="C259" s="141"/>
      <c r="D259" s="142"/>
      <c r="E259" s="143"/>
      <c r="F259" s="144"/>
      <c r="G259" s="1"/>
      <c r="H259" s="131" t="str">
        <f t="shared" si="4"/>
        <v/>
      </c>
      <c r="I259" s="132" t="str">
        <f>IF(L259&gt;0,NbEch+Différé+1-H259,"")</f>
        <v/>
      </c>
      <c r="J259" s="145" t="str">
        <f t="shared" si="2"/>
        <v/>
      </c>
      <c r="K259" s="146" t="str">
        <f>IF(L259=0,"",IF(Ijour=0,MIN(DATE(YEAR(DebAmort),MONTH(DebAmort)+(H259-1)*Imois,Jour1),DATE(YEAR(DebAmort),MONTH(DebAmort)+1+(H259-1)*Imois,0)),DATE(YEAR(DebAmort),MONTH(DebAmort),Jour1+(H259-1)*Ijour)))</f>
        <v/>
      </c>
      <c r="L259" s="147">
        <f t="shared" si="5"/>
        <v>0</v>
      </c>
      <c r="M259" s="135">
        <f>IF(H259&lt;=NoEchMaxi,ROUND(L259*R259,NbDeci),0)</f>
        <v>0</v>
      </c>
      <c r="N259" s="134">
        <f>IF(OR(H259&lt;=Différé,H259&gt;NoEchMaxi),IF(DiffTotal,-M259,0),IF(H259&gt;=NoEchRemb,L259,IF(S259-(M259*EchFIXE)&gt;L259-2,L259,S259-(M259*EchFIXE))))+C259</f>
        <v>0</v>
      </c>
      <c r="O259" s="136">
        <f>IF(OR(L259=0,H259&gt;NoEchMaxi),0,ROUND(FraisF+FraisV*L259,NbDeci))+F259</f>
        <v>0</v>
      </c>
      <c r="P259" s="148">
        <f t="shared" si="3"/>
        <v>0</v>
      </c>
      <c r="Q259" s="1"/>
      <c r="R259" s="138">
        <f>IF(B259&gt;0,IF(TauxActuariel,((B259+1)^(1/NbEchAn))-1,B259/NbEchAn),R258)</f>
        <v>0.04</v>
      </c>
      <c r="S259" s="139">
        <f>IF(E259&gt;0,E259,IF(D259&gt;0,IF(AND(EchFIXE,R259&gt;0),ROUND((L259-C259)*R259/(1-((1+R259)^-D259)),NbDeci),ROUND(L259/D259,NbDeci)),S258))</f>
        <v>6664</v>
      </c>
      <c r="T259" s="1"/>
      <c r="U259" s="1"/>
      <c r="V259" s="1"/>
      <c r="W259" s="1"/>
      <c r="X259" s="1"/>
      <c r="Y259" s="1"/>
      <c r="Z259" s="1"/>
      <c r="AA259" s="1"/>
    </row>
    <row r="260" ht="12.75" customHeight="1">
      <c r="A260" s="1"/>
      <c r="B260" s="140"/>
      <c r="C260" s="141"/>
      <c r="D260" s="142"/>
      <c r="E260" s="143"/>
      <c r="F260" s="144"/>
      <c r="G260" s="1"/>
      <c r="H260" s="131" t="str">
        <f t="shared" si="4"/>
        <v/>
      </c>
      <c r="I260" s="132" t="str">
        <f>IF(L260&gt;0,NbEch+Différé+1-H260,"")</f>
        <v/>
      </c>
      <c r="J260" s="145" t="str">
        <f t="shared" si="2"/>
        <v/>
      </c>
      <c r="K260" s="146" t="str">
        <f>IF(L260=0,"",IF(Ijour=0,MIN(DATE(YEAR(DebAmort),MONTH(DebAmort)+MoisD+(H260-1)*Imois,Jour2),DATE(YEAR(DebAmort),MONTH(DebAmort)+MoisD+1+(H260-1)*Imois,0)),DATE(YEAR(DebAmort),MONTH(DebAmort),Jour1+(H260-1)*Ijour)))</f>
        <v/>
      </c>
      <c r="L260" s="147">
        <f t="shared" si="5"/>
        <v>0</v>
      </c>
      <c r="M260" s="135">
        <f>IF(H260&lt;=NoEchMaxi,ROUND(L260*R260,NbDeci),0)</f>
        <v>0</v>
      </c>
      <c r="N260" s="134">
        <f>IF(OR(H260&lt;=Différé,H260&gt;NoEchMaxi),IF(DiffTotal,-M260,0),IF(H260&gt;=NoEchRemb,L260,IF(S260-(M260*EchFIXE)&gt;L260-2,L260,S260-(M260*EchFIXE))))+C260</f>
        <v>0</v>
      </c>
      <c r="O260" s="136">
        <f>IF(OR(L260=0,H260&gt;NoEchMaxi),0,ROUND(FraisF+FraisV*L260,NbDeci))+F260</f>
        <v>0</v>
      </c>
      <c r="P260" s="148">
        <f t="shared" si="3"/>
        <v>0</v>
      </c>
      <c r="Q260" s="1"/>
      <c r="R260" s="138">
        <f>IF(B260&gt;0,IF(TauxActuariel,((B260+1)^(1/NbEchAn))-1,B260/NbEchAn),R259)</f>
        <v>0.04</v>
      </c>
      <c r="S260" s="139">
        <f>IF(E260&gt;0,E260,IF(D260&gt;0,IF(AND(EchFIXE,R260&gt;0),ROUND((L260-C260)*R260/(1-((1+R260)^-D260)),NbDeci),ROUND(L260/D260,NbDeci)),S259))</f>
        <v>6664</v>
      </c>
      <c r="T260" s="1"/>
      <c r="U260" s="1"/>
      <c r="V260" s="1"/>
      <c r="W260" s="1"/>
      <c r="X260" s="1"/>
      <c r="Y260" s="1"/>
      <c r="Z260" s="1"/>
      <c r="AA260" s="1"/>
    </row>
    <row r="261" ht="12.75" customHeight="1">
      <c r="A261" s="1"/>
      <c r="B261" s="140"/>
      <c r="C261" s="141"/>
      <c r="D261" s="142"/>
      <c r="E261" s="143"/>
      <c r="F261" s="144"/>
      <c r="G261" s="1"/>
      <c r="H261" s="131" t="str">
        <f t="shared" si="4"/>
        <v/>
      </c>
      <c r="I261" s="132" t="str">
        <f>IF(L261&gt;0,NbEch+Différé+1-H261,"")</f>
        <v/>
      </c>
      <c r="J261" s="145" t="str">
        <f t="shared" si="2"/>
        <v/>
      </c>
      <c r="K261" s="146" t="str">
        <f>IF(L261=0,"",IF(Ijour=0,MIN(DATE(YEAR(DebAmort),MONTH(DebAmort)+(H261-1)*Imois,Jour1),DATE(YEAR(DebAmort),MONTH(DebAmort)+1+(H261-1)*Imois,0)),DATE(YEAR(DebAmort),MONTH(DebAmort),Jour1+(H261-1)*Ijour)))</f>
        <v/>
      </c>
      <c r="L261" s="147">
        <f t="shared" si="5"/>
        <v>0</v>
      </c>
      <c r="M261" s="135">
        <f>IF(H261&lt;=NoEchMaxi,ROUND(L261*R261,NbDeci),0)</f>
        <v>0</v>
      </c>
      <c r="N261" s="134">
        <f>IF(OR(H261&lt;=Différé,H261&gt;NoEchMaxi),IF(DiffTotal,-M261,0),IF(H261&gt;=NoEchRemb,L261,IF(S261-(M261*EchFIXE)&gt;L261-2,L261,S261-(M261*EchFIXE))))+C261</f>
        <v>0</v>
      </c>
      <c r="O261" s="136">
        <f>IF(OR(L261=0,H261&gt;NoEchMaxi),0,ROUND(FraisF+FraisV*L261,NbDeci))+F261</f>
        <v>0</v>
      </c>
      <c r="P261" s="148">
        <f t="shared" si="3"/>
        <v>0</v>
      </c>
      <c r="Q261" s="1"/>
      <c r="R261" s="138">
        <f>IF(B261&gt;0,IF(TauxActuariel,((B261+1)^(1/NbEchAn))-1,B261/NbEchAn),R260)</f>
        <v>0.04</v>
      </c>
      <c r="S261" s="139">
        <f>IF(E261&gt;0,E261,IF(D261&gt;0,IF(AND(EchFIXE,R261&gt;0),ROUND((L261-C261)*R261/(1-((1+R261)^-D261)),NbDeci),ROUND(L261/D261,NbDeci)),S260))</f>
        <v>6664</v>
      </c>
      <c r="T261" s="1"/>
      <c r="U261" s="1"/>
      <c r="V261" s="1"/>
      <c r="W261" s="1"/>
      <c r="X261" s="1"/>
      <c r="Y261" s="1"/>
      <c r="Z261" s="1"/>
      <c r="AA261" s="1"/>
    </row>
    <row r="262" ht="12.75" customHeight="1">
      <c r="A262" s="1"/>
      <c r="B262" s="140"/>
      <c r="C262" s="141"/>
      <c r="D262" s="142"/>
      <c r="E262" s="143"/>
      <c r="F262" s="144"/>
      <c r="G262" s="1"/>
      <c r="H262" s="131" t="str">
        <f t="shared" si="4"/>
        <v/>
      </c>
      <c r="I262" s="132" t="str">
        <f>IF(L262&gt;0,NbEch+Différé+1-H262,"")</f>
        <v/>
      </c>
      <c r="J262" s="145" t="str">
        <f t="shared" si="2"/>
        <v/>
      </c>
      <c r="K262" s="146" t="str">
        <f>IF(L262=0,"",IF(Ijour=0,MIN(DATE(YEAR(DebAmort),MONTH(DebAmort)+MoisD+(H262-1)*Imois,Jour2),DATE(YEAR(DebAmort),MONTH(DebAmort)+MoisD+1+(H262-1)*Imois,0)),DATE(YEAR(DebAmort),MONTH(DebAmort),Jour1+(H262-1)*Ijour)))</f>
        <v/>
      </c>
      <c r="L262" s="147">
        <f t="shared" si="5"/>
        <v>0</v>
      </c>
      <c r="M262" s="135">
        <f>IF(H262&lt;=NoEchMaxi,ROUND(L262*R262,NbDeci),0)</f>
        <v>0</v>
      </c>
      <c r="N262" s="134">
        <f>IF(OR(H262&lt;=Différé,H262&gt;NoEchMaxi),IF(DiffTotal,-M262,0),IF(H262&gt;=NoEchRemb,L262,IF(S262-(M262*EchFIXE)&gt;L262-2,L262,S262-(M262*EchFIXE))))+C262</f>
        <v>0</v>
      </c>
      <c r="O262" s="136">
        <f>IF(OR(L262=0,H262&gt;NoEchMaxi),0,ROUND(FraisF+FraisV*L262,NbDeci))+F262</f>
        <v>0</v>
      </c>
      <c r="P262" s="148">
        <f t="shared" si="3"/>
        <v>0</v>
      </c>
      <c r="Q262" s="1"/>
      <c r="R262" s="138">
        <f>IF(B262&gt;0,IF(TauxActuariel,((B262+1)^(1/NbEchAn))-1,B262/NbEchAn),R261)</f>
        <v>0.04</v>
      </c>
      <c r="S262" s="139">
        <f>IF(E262&gt;0,E262,IF(D262&gt;0,IF(AND(EchFIXE,R262&gt;0),ROUND((L262-C262)*R262/(1-((1+R262)^-D262)),NbDeci),ROUND(L262/D262,NbDeci)),S261))</f>
        <v>6664</v>
      </c>
      <c r="T262" s="1"/>
      <c r="U262" s="1"/>
      <c r="V262" s="1"/>
      <c r="W262" s="1"/>
      <c r="X262" s="1"/>
      <c r="Y262" s="1"/>
      <c r="Z262" s="1"/>
      <c r="AA262" s="1"/>
    </row>
    <row r="263" ht="12.75" customHeight="1">
      <c r="A263" s="1"/>
      <c r="B263" s="140"/>
      <c r="C263" s="141"/>
      <c r="D263" s="142"/>
      <c r="E263" s="143"/>
      <c r="F263" s="144"/>
      <c r="G263" s="1"/>
      <c r="H263" s="131" t="str">
        <f t="shared" si="4"/>
        <v/>
      </c>
      <c r="I263" s="132" t="str">
        <f>IF(L263&gt;0,NbEch+Différé+1-H263,"")</f>
        <v/>
      </c>
      <c r="J263" s="145" t="str">
        <f t="shared" si="2"/>
        <v/>
      </c>
      <c r="K263" s="146" t="str">
        <f>IF(L263=0,"",IF(Ijour=0,MIN(DATE(YEAR(DebAmort),MONTH(DebAmort)+(H263-1)*Imois,Jour1),DATE(YEAR(DebAmort),MONTH(DebAmort)+1+(H263-1)*Imois,0)),DATE(YEAR(DebAmort),MONTH(DebAmort),Jour1+(H263-1)*Ijour)))</f>
        <v/>
      </c>
      <c r="L263" s="147">
        <f t="shared" si="5"/>
        <v>0</v>
      </c>
      <c r="M263" s="135">
        <f>IF(H263&lt;=NoEchMaxi,ROUND(L263*R263,NbDeci),0)</f>
        <v>0</v>
      </c>
      <c r="N263" s="134">
        <f>IF(OR(H263&lt;=Différé,H263&gt;NoEchMaxi),IF(DiffTotal,-M263,0),IF(H263&gt;=NoEchRemb,L263,IF(S263-(M263*EchFIXE)&gt;L263-2,L263,S263-(M263*EchFIXE))))+C263</f>
        <v>0</v>
      </c>
      <c r="O263" s="136">
        <f>IF(OR(L263=0,H263&gt;NoEchMaxi),0,ROUND(FraisF+FraisV*L263,NbDeci))+F263</f>
        <v>0</v>
      </c>
      <c r="P263" s="148">
        <f t="shared" si="3"/>
        <v>0</v>
      </c>
      <c r="Q263" s="1"/>
      <c r="R263" s="138">
        <f>IF(B263&gt;0,IF(TauxActuariel,((B263+1)^(1/NbEchAn))-1,B263/NbEchAn),R262)</f>
        <v>0.04</v>
      </c>
      <c r="S263" s="139">
        <f>IF(E263&gt;0,E263,IF(D263&gt;0,IF(AND(EchFIXE,R263&gt;0),ROUND((L263-C263)*R263/(1-((1+R263)^-D263)),NbDeci),ROUND(L263/D263,NbDeci)),S262))</f>
        <v>6664</v>
      </c>
      <c r="T263" s="1"/>
      <c r="U263" s="1"/>
      <c r="V263" s="1"/>
      <c r="W263" s="1"/>
      <c r="X263" s="1"/>
      <c r="Y263" s="1"/>
      <c r="Z263" s="1"/>
      <c r="AA263" s="1"/>
    </row>
    <row r="264" ht="12.75" customHeight="1">
      <c r="A264" s="1"/>
      <c r="B264" s="140"/>
      <c r="C264" s="141"/>
      <c r="D264" s="142"/>
      <c r="E264" s="143"/>
      <c r="F264" s="144"/>
      <c r="G264" s="1"/>
      <c r="H264" s="131" t="str">
        <f t="shared" si="4"/>
        <v/>
      </c>
      <c r="I264" s="132" t="str">
        <f>IF(L264&gt;0,NbEch+Différé+1-H264,"")</f>
        <v/>
      </c>
      <c r="J264" s="145" t="str">
        <f t="shared" si="2"/>
        <v/>
      </c>
      <c r="K264" s="146" t="str">
        <f>IF(L264=0,"",IF(Ijour=0,MIN(DATE(YEAR(DebAmort),MONTH(DebAmort)+MoisD+(H264-1)*Imois,Jour2),DATE(YEAR(DebAmort),MONTH(DebAmort)+MoisD+1+(H264-1)*Imois,0)),DATE(YEAR(DebAmort),MONTH(DebAmort),Jour1+(H264-1)*Ijour)))</f>
        <v/>
      </c>
      <c r="L264" s="147">
        <f t="shared" si="5"/>
        <v>0</v>
      </c>
      <c r="M264" s="135">
        <f>IF(H264&lt;=NoEchMaxi,ROUND(L264*R264,NbDeci),0)</f>
        <v>0</v>
      </c>
      <c r="N264" s="134">
        <f>IF(OR(H264&lt;=Différé,H264&gt;NoEchMaxi),IF(DiffTotal,-M264,0),IF(H264&gt;=NoEchRemb,L264,IF(S264-(M264*EchFIXE)&gt;L264-2,L264,S264-(M264*EchFIXE))))+C264</f>
        <v>0</v>
      </c>
      <c r="O264" s="136">
        <f>IF(OR(L264=0,H264&gt;NoEchMaxi),0,ROUND(FraisF+FraisV*L264,NbDeci))+F264</f>
        <v>0</v>
      </c>
      <c r="P264" s="148">
        <f t="shared" si="3"/>
        <v>0</v>
      </c>
      <c r="Q264" s="1"/>
      <c r="R264" s="138">
        <f>IF(B264&gt;0,IF(TauxActuariel,((B264+1)^(1/NbEchAn))-1,B264/NbEchAn),R263)</f>
        <v>0.04</v>
      </c>
      <c r="S264" s="139">
        <f>IF(E264&gt;0,E264,IF(D264&gt;0,IF(AND(EchFIXE,R264&gt;0),ROUND((L264-C264)*R264/(1-((1+R264)^-D264)),NbDeci),ROUND(L264/D264,NbDeci)),S263))</f>
        <v>6664</v>
      </c>
      <c r="T264" s="1"/>
      <c r="U264" s="1"/>
      <c r="V264" s="1"/>
      <c r="W264" s="1"/>
      <c r="X264" s="1"/>
      <c r="Y264" s="1"/>
      <c r="Z264" s="1"/>
      <c r="AA264" s="1"/>
    </row>
    <row r="265" ht="12.75" customHeight="1">
      <c r="A265" s="1"/>
      <c r="B265" s="140"/>
      <c r="C265" s="141"/>
      <c r="D265" s="142"/>
      <c r="E265" s="143"/>
      <c r="F265" s="144"/>
      <c r="G265" s="1"/>
      <c r="H265" s="131" t="str">
        <f t="shared" si="4"/>
        <v/>
      </c>
      <c r="I265" s="132" t="str">
        <f>IF(L265&gt;0,NbEch+Différé+1-H265,"")</f>
        <v/>
      </c>
      <c r="J265" s="145" t="str">
        <f t="shared" si="2"/>
        <v/>
      </c>
      <c r="K265" s="146" t="str">
        <f>IF(L265=0,"",IF(Ijour=0,MIN(DATE(YEAR(DebAmort),MONTH(DebAmort)+(H265-1)*Imois,Jour1),DATE(YEAR(DebAmort),MONTH(DebAmort)+1+(H265-1)*Imois,0)),DATE(YEAR(DebAmort),MONTH(DebAmort),Jour1+(H265-1)*Ijour)))</f>
        <v/>
      </c>
      <c r="L265" s="147">
        <f t="shared" si="5"/>
        <v>0</v>
      </c>
      <c r="M265" s="135">
        <f>IF(H265&lt;=NoEchMaxi,ROUND(L265*R265,NbDeci),0)</f>
        <v>0</v>
      </c>
      <c r="N265" s="134">
        <f>IF(OR(H265&lt;=Différé,H265&gt;NoEchMaxi),IF(DiffTotal,-M265,0),IF(H265&gt;=NoEchRemb,L265,IF(S265-(M265*EchFIXE)&gt;L265-2,L265,S265-(M265*EchFIXE))))+C265</f>
        <v>0</v>
      </c>
      <c r="O265" s="136">
        <f>IF(OR(L265=0,H265&gt;NoEchMaxi),0,ROUND(FraisF+FraisV*L265,NbDeci))+F265</f>
        <v>0</v>
      </c>
      <c r="P265" s="148">
        <f t="shared" si="3"/>
        <v>0</v>
      </c>
      <c r="Q265" s="1"/>
      <c r="R265" s="138">
        <f>IF(B265&gt;0,IF(TauxActuariel,((B265+1)^(1/NbEchAn))-1,B265/NbEchAn),R264)</f>
        <v>0.04</v>
      </c>
      <c r="S265" s="139">
        <f>IF(E265&gt;0,E265,IF(D265&gt;0,IF(AND(EchFIXE,R265&gt;0),ROUND((L265-C265)*R265/(1-((1+R265)^-D265)),NbDeci),ROUND(L265/D265,NbDeci)),S264))</f>
        <v>6664</v>
      </c>
      <c r="T265" s="1"/>
      <c r="U265" s="1"/>
      <c r="V265" s="1"/>
      <c r="W265" s="1"/>
      <c r="X265" s="1"/>
      <c r="Y265" s="1"/>
      <c r="Z265" s="1"/>
      <c r="AA265" s="1"/>
    </row>
    <row r="266" ht="12.75" customHeight="1">
      <c r="A266" s="1"/>
      <c r="B266" s="140"/>
      <c r="C266" s="141"/>
      <c r="D266" s="142"/>
      <c r="E266" s="143"/>
      <c r="F266" s="144"/>
      <c r="G266" s="1"/>
      <c r="H266" s="131" t="str">
        <f t="shared" si="4"/>
        <v/>
      </c>
      <c r="I266" s="132" t="str">
        <f>IF(L266&gt;0,NbEch+Différé+1-H266,"")</f>
        <v/>
      </c>
      <c r="J266" s="145" t="str">
        <f t="shared" si="2"/>
        <v/>
      </c>
      <c r="K266" s="146" t="str">
        <f>IF(L266=0,"",IF(Ijour=0,MIN(DATE(YEAR(DebAmort),MONTH(DebAmort)+MoisD+(H266-1)*Imois,Jour2),DATE(YEAR(DebAmort),MONTH(DebAmort)+MoisD+1+(H266-1)*Imois,0)),DATE(YEAR(DebAmort),MONTH(DebAmort),Jour1+(H266-1)*Ijour)))</f>
        <v/>
      </c>
      <c r="L266" s="147">
        <f t="shared" si="5"/>
        <v>0</v>
      </c>
      <c r="M266" s="135">
        <f>IF(H266&lt;=NoEchMaxi,ROUND(L266*R266,NbDeci),0)</f>
        <v>0</v>
      </c>
      <c r="N266" s="134">
        <f>IF(OR(H266&lt;=Différé,H266&gt;NoEchMaxi),IF(DiffTotal,-M266,0),IF(H266&gt;=NoEchRemb,L266,IF(S266-(M266*EchFIXE)&gt;L266-2,L266,S266-(M266*EchFIXE))))+C266</f>
        <v>0</v>
      </c>
      <c r="O266" s="136">
        <f>IF(OR(L266=0,H266&gt;NoEchMaxi),0,ROUND(FraisF+FraisV*L266,NbDeci))+F266</f>
        <v>0</v>
      </c>
      <c r="P266" s="148">
        <f t="shared" si="3"/>
        <v>0</v>
      </c>
      <c r="Q266" s="1"/>
      <c r="R266" s="138">
        <f>IF(B266&gt;0,IF(TauxActuariel,((B266+1)^(1/NbEchAn))-1,B266/NbEchAn),R265)</f>
        <v>0.04</v>
      </c>
      <c r="S266" s="139">
        <f>IF(E266&gt;0,E266,IF(D266&gt;0,IF(AND(EchFIXE,R266&gt;0),ROUND((L266-C266)*R266/(1-((1+R266)^-D266)),NbDeci),ROUND(L266/D266,NbDeci)),S265))</f>
        <v>6664</v>
      </c>
      <c r="T266" s="1"/>
      <c r="U266" s="1"/>
      <c r="V266" s="1"/>
      <c r="W266" s="1"/>
      <c r="X266" s="1"/>
      <c r="Y266" s="1"/>
      <c r="Z266" s="1"/>
      <c r="AA266" s="1"/>
    </row>
    <row r="267" ht="12.75" customHeight="1">
      <c r="A267" s="1"/>
      <c r="B267" s="140"/>
      <c r="C267" s="141"/>
      <c r="D267" s="142"/>
      <c r="E267" s="143"/>
      <c r="F267" s="144"/>
      <c r="G267" s="1"/>
      <c r="H267" s="131" t="str">
        <f t="shared" si="4"/>
        <v/>
      </c>
      <c r="I267" s="132" t="str">
        <f>IF(L267&gt;0,NbEch+Différé+1-H267,"")</f>
        <v/>
      </c>
      <c r="J267" s="145" t="str">
        <f t="shared" si="2"/>
        <v/>
      </c>
      <c r="K267" s="146" t="str">
        <f>IF(L267=0,"",IF(Ijour=0,MIN(DATE(YEAR(DebAmort),MONTH(DebAmort)+(H267-1)*Imois,Jour1),DATE(YEAR(DebAmort),MONTH(DebAmort)+1+(H267-1)*Imois,0)),DATE(YEAR(DebAmort),MONTH(DebAmort),Jour1+(H267-1)*Ijour)))</f>
        <v/>
      </c>
      <c r="L267" s="147">
        <f t="shared" si="5"/>
        <v>0</v>
      </c>
      <c r="M267" s="135">
        <f>IF(H267&lt;=NoEchMaxi,ROUND(L267*R267,NbDeci),0)</f>
        <v>0</v>
      </c>
      <c r="N267" s="134">
        <f>IF(OR(H267&lt;=Différé,H267&gt;NoEchMaxi),IF(DiffTotal,-M267,0),IF(H267&gt;=NoEchRemb,L267,IF(S267-(M267*EchFIXE)&gt;L267-2,L267,S267-(M267*EchFIXE))))+C267</f>
        <v>0</v>
      </c>
      <c r="O267" s="136">
        <f>IF(OR(L267=0,H267&gt;NoEchMaxi),0,ROUND(FraisF+FraisV*L267,NbDeci))+F267</f>
        <v>0</v>
      </c>
      <c r="P267" s="148">
        <f t="shared" si="3"/>
        <v>0</v>
      </c>
      <c r="Q267" s="1"/>
      <c r="R267" s="138">
        <f>IF(B267&gt;0,IF(TauxActuariel,((B267+1)^(1/NbEchAn))-1,B267/NbEchAn),R266)</f>
        <v>0.04</v>
      </c>
      <c r="S267" s="139">
        <f>IF(E267&gt;0,E267,IF(D267&gt;0,IF(AND(EchFIXE,R267&gt;0),ROUND((L267-C267)*R267/(1-((1+R267)^-D267)),NbDeci),ROUND(L267/D267,NbDeci)),S266))</f>
        <v>6664</v>
      </c>
      <c r="T267" s="1"/>
      <c r="U267" s="1"/>
      <c r="V267" s="1"/>
      <c r="W267" s="1"/>
      <c r="X267" s="1"/>
      <c r="Y267" s="1"/>
      <c r="Z267" s="1"/>
      <c r="AA267" s="1"/>
    </row>
    <row r="268" ht="12.75" customHeight="1">
      <c r="A268" s="1"/>
      <c r="B268" s="140"/>
      <c r="C268" s="141"/>
      <c r="D268" s="142"/>
      <c r="E268" s="143"/>
      <c r="F268" s="144"/>
      <c r="G268" s="1"/>
      <c r="H268" s="131" t="str">
        <f t="shared" si="4"/>
        <v/>
      </c>
      <c r="I268" s="132" t="str">
        <f>IF(L268&gt;0,NbEch+Différé+1-H268,"")</f>
        <v/>
      </c>
      <c r="J268" s="145" t="str">
        <f t="shared" si="2"/>
        <v/>
      </c>
      <c r="K268" s="146" t="str">
        <f>IF(L268=0,"",IF(Ijour=0,MIN(DATE(YEAR(DebAmort),MONTH(DebAmort)+MoisD+(H268-1)*Imois,Jour2),DATE(YEAR(DebAmort),MONTH(DebAmort)+MoisD+1+(H268-1)*Imois,0)),DATE(YEAR(DebAmort),MONTH(DebAmort),Jour1+(H268-1)*Ijour)))</f>
        <v/>
      </c>
      <c r="L268" s="147">
        <f t="shared" si="5"/>
        <v>0</v>
      </c>
      <c r="M268" s="135">
        <f>IF(H268&lt;=NoEchMaxi,ROUND(L268*R268,NbDeci),0)</f>
        <v>0</v>
      </c>
      <c r="N268" s="134">
        <f>IF(OR(H268&lt;=Différé,H268&gt;NoEchMaxi),IF(DiffTotal,-M268,0),IF(H268&gt;=NoEchRemb,L268,IF(S268-(M268*EchFIXE)&gt;L268-2,L268,S268-(M268*EchFIXE))))+C268</f>
        <v>0</v>
      </c>
      <c r="O268" s="136">
        <f>IF(OR(L268=0,H268&gt;NoEchMaxi),0,ROUND(FraisF+FraisV*L268,NbDeci))+F268</f>
        <v>0</v>
      </c>
      <c r="P268" s="148">
        <f t="shared" si="3"/>
        <v>0</v>
      </c>
      <c r="Q268" s="1"/>
      <c r="R268" s="138">
        <f>IF(B268&gt;0,IF(TauxActuariel,((B268+1)^(1/NbEchAn))-1,B268/NbEchAn),R267)</f>
        <v>0.04</v>
      </c>
      <c r="S268" s="139">
        <f>IF(E268&gt;0,E268,IF(D268&gt;0,IF(AND(EchFIXE,R268&gt;0),ROUND((L268-C268)*R268/(1-((1+R268)^-D268)),NbDeci),ROUND(L268/D268,NbDeci)),S267))</f>
        <v>6664</v>
      </c>
      <c r="T268" s="1"/>
      <c r="U268" s="1"/>
      <c r="V268" s="1"/>
      <c r="W268" s="1"/>
      <c r="X268" s="1"/>
      <c r="Y268" s="1"/>
      <c r="Z268" s="1"/>
      <c r="AA268" s="1"/>
    </row>
    <row r="269" ht="12.75" customHeight="1">
      <c r="A269" s="1"/>
      <c r="B269" s="140"/>
      <c r="C269" s="141"/>
      <c r="D269" s="142"/>
      <c r="E269" s="143"/>
      <c r="F269" s="144"/>
      <c r="G269" s="1"/>
      <c r="H269" s="131" t="str">
        <f t="shared" si="4"/>
        <v/>
      </c>
      <c r="I269" s="132" t="str">
        <f>IF(L269&gt;0,NbEch+Différé+1-H269,"")</f>
        <v/>
      </c>
      <c r="J269" s="145" t="str">
        <f t="shared" si="2"/>
        <v/>
      </c>
      <c r="K269" s="146" t="str">
        <f>IF(L269=0,"",IF(Ijour=0,MIN(DATE(YEAR(DebAmort),MONTH(DebAmort)+(H269-1)*Imois,Jour1),DATE(YEAR(DebAmort),MONTH(DebAmort)+1+(H269-1)*Imois,0)),DATE(YEAR(DebAmort),MONTH(DebAmort),Jour1+(H269-1)*Ijour)))</f>
        <v/>
      </c>
      <c r="L269" s="147">
        <f t="shared" si="5"/>
        <v>0</v>
      </c>
      <c r="M269" s="135">
        <f>IF(H269&lt;=NoEchMaxi,ROUND(L269*R269,NbDeci),0)</f>
        <v>0</v>
      </c>
      <c r="N269" s="134">
        <f>IF(OR(H269&lt;=Différé,H269&gt;NoEchMaxi),IF(DiffTotal,-M269,0),IF(H269&gt;=NoEchRemb,L269,IF(S269-(M269*EchFIXE)&gt;L269-2,L269,S269-(M269*EchFIXE))))+C269</f>
        <v>0</v>
      </c>
      <c r="O269" s="136">
        <f>IF(OR(L269=0,H269&gt;NoEchMaxi),0,ROUND(FraisF+FraisV*L269,NbDeci))+F269</f>
        <v>0</v>
      </c>
      <c r="P269" s="148">
        <f t="shared" si="3"/>
        <v>0</v>
      </c>
      <c r="Q269" s="1"/>
      <c r="R269" s="138">
        <f>IF(B269&gt;0,IF(TauxActuariel,((B269+1)^(1/NbEchAn))-1,B269/NbEchAn),R268)</f>
        <v>0.04</v>
      </c>
      <c r="S269" s="139">
        <f>IF(E269&gt;0,E269,IF(D269&gt;0,IF(AND(EchFIXE,R269&gt;0),ROUND((L269-C269)*R269/(1-((1+R269)^-D269)),NbDeci),ROUND(L269/D269,NbDeci)),S268))</f>
        <v>6664</v>
      </c>
      <c r="T269" s="1"/>
      <c r="U269" s="1"/>
      <c r="V269" s="1"/>
      <c r="W269" s="1"/>
      <c r="X269" s="1"/>
      <c r="Y269" s="1"/>
      <c r="Z269" s="1"/>
      <c r="AA269" s="1"/>
    </row>
    <row r="270" ht="12.75" customHeight="1">
      <c r="A270" s="1"/>
      <c r="B270" s="140"/>
      <c r="C270" s="141"/>
      <c r="D270" s="142"/>
      <c r="E270" s="143"/>
      <c r="F270" s="144"/>
      <c r="G270" s="1"/>
      <c r="H270" s="131" t="str">
        <f t="shared" si="4"/>
        <v/>
      </c>
      <c r="I270" s="132" t="str">
        <f>IF(L270&gt;0,NbEch+Différé+1-H270,"")</f>
        <v/>
      </c>
      <c r="J270" s="145" t="str">
        <f t="shared" si="2"/>
        <v/>
      </c>
      <c r="K270" s="146" t="str">
        <f>IF(L270=0,"",IF(Ijour=0,MIN(DATE(YEAR(DebAmort),MONTH(DebAmort)+MoisD+(H270-1)*Imois,Jour2),DATE(YEAR(DebAmort),MONTH(DebAmort)+MoisD+1+(H270-1)*Imois,0)),DATE(YEAR(DebAmort),MONTH(DebAmort),Jour1+(H270-1)*Ijour)))</f>
        <v/>
      </c>
      <c r="L270" s="147">
        <f t="shared" si="5"/>
        <v>0</v>
      </c>
      <c r="M270" s="135">
        <f>IF(H270&lt;=NoEchMaxi,ROUND(L270*R270,NbDeci),0)</f>
        <v>0</v>
      </c>
      <c r="N270" s="134">
        <f>IF(OR(H270&lt;=Différé,H270&gt;NoEchMaxi),IF(DiffTotal,-M270,0),IF(H270&gt;=NoEchRemb,L270,IF(S270-(M270*EchFIXE)&gt;L270-2,L270,S270-(M270*EchFIXE))))+C270</f>
        <v>0</v>
      </c>
      <c r="O270" s="136">
        <f>IF(OR(L270=0,H270&gt;NoEchMaxi),0,ROUND(FraisF+FraisV*L270,NbDeci))+F270</f>
        <v>0</v>
      </c>
      <c r="P270" s="148">
        <f t="shared" si="3"/>
        <v>0</v>
      </c>
      <c r="Q270" s="1"/>
      <c r="R270" s="138">
        <f>IF(B270&gt;0,IF(TauxActuariel,((B270+1)^(1/NbEchAn))-1,B270/NbEchAn),R269)</f>
        <v>0.04</v>
      </c>
      <c r="S270" s="139">
        <f>IF(E270&gt;0,E270,IF(D270&gt;0,IF(AND(EchFIXE,R270&gt;0),ROUND((L270-C270)*R270/(1-((1+R270)^-D270)),NbDeci),ROUND(L270/D270,NbDeci)),S269))</f>
        <v>6664</v>
      </c>
      <c r="T270" s="1"/>
      <c r="U270" s="1"/>
      <c r="V270" s="1"/>
      <c r="W270" s="1"/>
      <c r="X270" s="1"/>
      <c r="Y270" s="1"/>
      <c r="Z270" s="1"/>
      <c r="AA270" s="1"/>
    </row>
    <row r="271" ht="12.75" customHeight="1">
      <c r="A271" s="1"/>
      <c r="B271" s="140"/>
      <c r="C271" s="141"/>
      <c r="D271" s="142"/>
      <c r="E271" s="143"/>
      <c r="F271" s="144"/>
      <c r="G271" s="1"/>
      <c r="H271" s="131" t="str">
        <f t="shared" si="4"/>
        <v/>
      </c>
      <c r="I271" s="132" t="str">
        <f>IF(L271&gt;0,NbEch+Différé+1-H271,"")</f>
        <v/>
      </c>
      <c r="J271" s="145" t="str">
        <f t="shared" si="2"/>
        <v/>
      </c>
      <c r="K271" s="146" t="str">
        <f>IF(L271=0,"",IF(Ijour=0,MIN(DATE(YEAR(DebAmort),MONTH(DebAmort)+(H271-1)*Imois,Jour1),DATE(YEAR(DebAmort),MONTH(DebAmort)+1+(H271-1)*Imois,0)),DATE(YEAR(DebAmort),MONTH(DebAmort),Jour1+(H271-1)*Ijour)))</f>
        <v/>
      </c>
      <c r="L271" s="147">
        <f t="shared" si="5"/>
        <v>0</v>
      </c>
      <c r="M271" s="135">
        <f>IF(H271&lt;=NoEchMaxi,ROUND(L271*R271,NbDeci),0)</f>
        <v>0</v>
      </c>
      <c r="N271" s="134">
        <f>IF(OR(H271&lt;=Différé,H271&gt;NoEchMaxi),IF(DiffTotal,-M271,0),IF(H271&gt;=NoEchRemb,L271,IF(S271-(M271*EchFIXE)&gt;L271-2,L271,S271-(M271*EchFIXE))))+C271</f>
        <v>0</v>
      </c>
      <c r="O271" s="136">
        <f>IF(OR(L271=0,H271&gt;NoEchMaxi),0,ROUND(FraisF+FraisV*L271,NbDeci))+F271</f>
        <v>0</v>
      </c>
      <c r="P271" s="148">
        <f t="shared" si="3"/>
        <v>0</v>
      </c>
      <c r="Q271" s="1"/>
      <c r="R271" s="138">
        <f>IF(B271&gt;0,IF(TauxActuariel,((B271+1)^(1/NbEchAn))-1,B271/NbEchAn),R270)</f>
        <v>0.04</v>
      </c>
      <c r="S271" s="139">
        <f>IF(E271&gt;0,E271,IF(D271&gt;0,IF(AND(EchFIXE,R271&gt;0),ROUND((L271-C271)*R271/(1-((1+R271)^-D271)),NbDeci),ROUND(L271/D271,NbDeci)),S270))</f>
        <v>6664</v>
      </c>
      <c r="T271" s="1"/>
      <c r="U271" s="1"/>
      <c r="V271" s="1"/>
      <c r="W271" s="1"/>
      <c r="X271" s="1"/>
      <c r="Y271" s="1"/>
      <c r="Z271" s="1"/>
      <c r="AA271" s="1"/>
    </row>
    <row r="272" ht="12.75" customHeight="1">
      <c r="A272" s="1"/>
      <c r="B272" s="140"/>
      <c r="C272" s="141"/>
      <c r="D272" s="142"/>
      <c r="E272" s="143"/>
      <c r="F272" s="144"/>
      <c r="G272" s="1"/>
      <c r="H272" s="131" t="str">
        <f t="shared" si="4"/>
        <v/>
      </c>
      <c r="I272" s="132" t="str">
        <f>IF(L272&gt;0,NbEch+Différé+1-H272,"")</f>
        <v/>
      </c>
      <c r="J272" s="145" t="str">
        <f t="shared" si="2"/>
        <v/>
      </c>
      <c r="K272" s="146" t="str">
        <f>IF(L272=0,"",IF(Ijour=0,MIN(DATE(YEAR(DebAmort),MONTH(DebAmort)+MoisD+(H272-1)*Imois,Jour2),DATE(YEAR(DebAmort),MONTH(DebAmort)+MoisD+1+(H272-1)*Imois,0)),DATE(YEAR(DebAmort),MONTH(DebAmort),Jour1+(H272-1)*Ijour)))</f>
        <v/>
      </c>
      <c r="L272" s="147">
        <f t="shared" si="5"/>
        <v>0</v>
      </c>
      <c r="M272" s="135">
        <f>IF(H272&lt;=NoEchMaxi,ROUND(L272*R272,NbDeci),0)</f>
        <v>0</v>
      </c>
      <c r="N272" s="134">
        <f>IF(OR(H272&lt;=Différé,H272&gt;NoEchMaxi),IF(DiffTotal,-M272,0),IF(H272&gt;=NoEchRemb,L272,IF(S272-(M272*EchFIXE)&gt;L272-2,L272,S272-(M272*EchFIXE))))+C272</f>
        <v>0</v>
      </c>
      <c r="O272" s="136">
        <f>IF(OR(L272=0,H272&gt;NoEchMaxi),0,ROUND(FraisF+FraisV*L272,NbDeci))+F272</f>
        <v>0</v>
      </c>
      <c r="P272" s="148">
        <f t="shared" si="3"/>
        <v>0</v>
      </c>
      <c r="Q272" s="1"/>
      <c r="R272" s="138">
        <f>IF(B272&gt;0,IF(TauxActuariel,((B272+1)^(1/NbEchAn))-1,B272/NbEchAn),R271)</f>
        <v>0.04</v>
      </c>
      <c r="S272" s="139">
        <f>IF(E272&gt;0,E272,IF(D272&gt;0,IF(AND(EchFIXE,R272&gt;0),ROUND((L272-C272)*R272/(1-((1+R272)^-D272)),NbDeci),ROUND(L272/D272,NbDeci)),S271))</f>
        <v>6664</v>
      </c>
      <c r="T272" s="1"/>
      <c r="U272" s="1"/>
      <c r="V272" s="1"/>
      <c r="W272" s="1"/>
      <c r="X272" s="1"/>
      <c r="Y272" s="1"/>
      <c r="Z272" s="1"/>
      <c r="AA272" s="1"/>
    </row>
    <row r="273" ht="12.75" customHeight="1">
      <c r="A273" s="1"/>
      <c r="B273" s="140"/>
      <c r="C273" s="141"/>
      <c r="D273" s="142"/>
      <c r="E273" s="143"/>
      <c r="F273" s="144"/>
      <c r="G273" s="1"/>
      <c r="H273" s="131" t="str">
        <f t="shared" si="4"/>
        <v/>
      </c>
      <c r="I273" s="132" t="str">
        <f>IF(L273&gt;0,NbEch+Différé+1-H273,"")</f>
        <v/>
      </c>
      <c r="J273" s="145" t="str">
        <f t="shared" si="2"/>
        <v/>
      </c>
      <c r="K273" s="146" t="str">
        <f>IF(L273=0,"",IF(Ijour=0,MIN(DATE(YEAR(DebAmort),MONTH(DebAmort)+(H273-1)*Imois,Jour1),DATE(YEAR(DebAmort),MONTH(DebAmort)+1+(H273-1)*Imois,0)),DATE(YEAR(DebAmort),MONTH(DebAmort),Jour1+(H273-1)*Ijour)))</f>
        <v/>
      </c>
      <c r="L273" s="147">
        <f t="shared" si="5"/>
        <v>0</v>
      </c>
      <c r="M273" s="135">
        <f>IF(H273&lt;=NoEchMaxi,ROUND(L273*R273,NbDeci),0)</f>
        <v>0</v>
      </c>
      <c r="N273" s="134">
        <f>IF(OR(H273&lt;=Différé,H273&gt;NoEchMaxi),IF(DiffTotal,-M273,0),IF(H273&gt;=NoEchRemb,L273,IF(S273-(M273*EchFIXE)&gt;L273-2,L273,S273-(M273*EchFIXE))))+C273</f>
        <v>0</v>
      </c>
      <c r="O273" s="136">
        <f>IF(OR(L273=0,H273&gt;NoEchMaxi),0,ROUND(FraisF+FraisV*L273,NbDeci))+F273</f>
        <v>0</v>
      </c>
      <c r="P273" s="148">
        <f t="shared" si="3"/>
        <v>0</v>
      </c>
      <c r="Q273" s="1"/>
      <c r="R273" s="138">
        <f>IF(B273&gt;0,IF(TauxActuariel,((B273+1)^(1/NbEchAn))-1,B273/NbEchAn),R272)</f>
        <v>0.04</v>
      </c>
      <c r="S273" s="139">
        <f>IF(E273&gt;0,E273,IF(D273&gt;0,IF(AND(EchFIXE,R273&gt;0),ROUND((L273-C273)*R273/(1-((1+R273)^-D273)),NbDeci),ROUND(L273/D273,NbDeci)),S272))</f>
        <v>6664</v>
      </c>
      <c r="T273" s="1"/>
      <c r="U273" s="1"/>
      <c r="V273" s="1"/>
      <c r="W273" s="1"/>
      <c r="X273" s="1"/>
      <c r="Y273" s="1"/>
      <c r="Z273" s="1"/>
      <c r="AA273" s="1"/>
    </row>
    <row r="274" ht="12.75" customHeight="1">
      <c r="A274" s="1"/>
      <c r="B274" s="140"/>
      <c r="C274" s="141"/>
      <c r="D274" s="142"/>
      <c r="E274" s="143"/>
      <c r="F274" s="144"/>
      <c r="G274" s="1"/>
      <c r="H274" s="131" t="str">
        <f t="shared" si="4"/>
        <v/>
      </c>
      <c r="I274" s="132" t="str">
        <f>IF(L274&gt;0,NbEch+Différé+1-H274,"")</f>
        <v/>
      </c>
      <c r="J274" s="145" t="str">
        <f t="shared" si="2"/>
        <v/>
      </c>
      <c r="K274" s="146" t="str">
        <f>IF(L274=0,"",IF(Ijour=0,MIN(DATE(YEAR(DebAmort),MONTH(DebAmort)+MoisD+(H274-1)*Imois,Jour2),DATE(YEAR(DebAmort),MONTH(DebAmort)+MoisD+1+(H274-1)*Imois,0)),DATE(YEAR(DebAmort),MONTH(DebAmort),Jour1+(H274-1)*Ijour)))</f>
        <v/>
      </c>
      <c r="L274" s="147">
        <f t="shared" si="5"/>
        <v>0</v>
      </c>
      <c r="M274" s="135">
        <f>IF(H274&lt;=NoEchMaxi,ROUND(L274*R274,NbDeci),0)</f>
        <v>0</v>
      </c>
      <c r="N274" s="134">
        <f>IF(OR(H274&lt;=Différé,H274&gt;NoEchMaxi),IF(DiffTotal,-M274,0),IF(H274&gt;=NoEchRemb,L274,IF(S274-(M274*EchFIXE)&gt;L274-2,L274,S274-(M274*EchFIXE))))+C274</f>
        <v>0</v>
      </c>
      <c r="O274" s="136">
        <f>IF(OR(L274=0,H274&gt;NoEchMaxi),0,ROUND(FraisF+FraisV*L274,NbDeci))+F274</f>
        <v>0</v>
      </c>
      <c r="P274" s="148">
        <f t="shared" si="3"/>
        <v>0</v>
      </c>
      <c r="Q274" s="1"/>
      <c r="R274" s="138">
        <f>IF(B274&gt;0,IF(TauxActuariel,((B274+1)^(1/NbEchAn))-1,B274/NbEchAn),R273)</f>
        <v>0.04</v>
      </c>
      <c r="S274" s="139">
        <f>IF(E274&gt;0,E274,IF(D274&gt;0,IF(AND(EchFIXE,R274&gt;0),ROUND((L274-C274)*R274/(1-((1+R274)^-D274)),NbDeci),ROUND(L274/D274,NbDeci)),S273))</f>
        <v>6664</v>
      </c>
      <c r="T274" s="1"/>
      <c r="U274" s="1"/>
      <c r="V274" s="1"/>
      <c r="W274" s="1"/>
      <c r="X274" s="1"/>
      <c r="Y274" s="1"/>
      <c r="Z274" s="1"/>
      <c r="AA274" s="1"/>
    </row>
    <row r="275" ht="12.75" customHeight="1">
      <c r="A275" s="1"/>
      <c r="B275" s="140"/>
      <c r="C275" s="141"/>
      <c r="D275" s="142"/>
      <c r="E275" s="143"/>
      <c r="F275" s="144"/>
      <c r="G275" s="1"/>
      <c r="H275" s="131" t="str">
        <f t="shared" si="4"/>
        <v/>
      </c>
      <c r="I275" s="132" t="str">
        <f>IF(L275&gt;0,NbEch+Différé+1-H275,"")</f>
        <v/>
      </c>
      <c r="J275" s="145" t="str">
        <f t="shared" si="2"/>
        <v/>
      </c>
      <c r="K275" s="146" t="str">
        <f>IF(L275=0,"",IF(Ijour=0,MIN(DATE(YEAR(DebAmort),MONTH(DebAmort)+(H275-1)*Imois,Jour1),DATE(YEAR(DebAmort),MONTH(DebAmort)+1+(H275-1)*Imois,0)),DATE(YEAR(DebAmort),MONTH(DebAmort),Jour1+(H275-1)*Ijour)))</f>
        <v/>
      </c>
      <c r="L275" s="147">
        <f t="shared" si="5"/>
        <v>0</v>
      </c>
      <c r="M275" s="135">
        <f>IF(H275&lt;=NoEchMaxi,ROUND(L275*R275,NbDeci),0)</f>
        <v>0</v>
      </c>
      <c r="N275" s="134">
        <f>IF(OR(H275&lt;=Différé,H275&gt;NoEchMaxi),IF(DiffTotal,-M275,0),IF(H275&gt;=NoEchRemb,L275,IF(S275-(M275*EchFIXE)&gt;L275-2,L275,S275-(M275*EchFIXE))))+C275</f>
        <v>0</v>
      </c>
      <c r="O275" s="136">
        <f>IF(OR(L275=0,H275&gt;NoEchMaxi),0,ROUND(FraisF+FraisV*L275,NbDeci))+F275</f>
        <v>0</v>
      </c>
      <c r="P275" s="148">
        <f t="shared" si="3"/>
        <v>0</v>
      </c>
      <c r="Q275" s="1"/>
      <c r="R275" s="138">
        <f>IF(B275&gt;0,IF(TauxActuariel,((B275+1)^(1/NbEchAn))-1,B275/NbEchAn),R274)</f>
        <v>0.04</v>
      </c>
      <c r="S275" s="139">
        <f>IF(E275&gt;0,E275,IF(D275&gt;0,IF(AND(EchFIXE,R275&gt;0),ROUND((L275-C275)*R275/(1-((1+R275)^-D275)),NbDeci),ROUND(L275/D275,NbDeci)),S274))</f>
        <v>6664</v>
      </c>
      <c r="T275" s="1"/>
      <c r="U275" s="1"/>
      <c r="V275" s="1"/>
      <c r="W275" s="1"/>
      <c r="X275" s="1"/>
      <c r="Y275" s="1"/>
      <c r="Z275" s="1"/>
      <c r="AA275" s="1"/>
    </row>
    <row r="276" ht="12.75" customHeight="1">
      <c r="A276" s="1"/>
      <c r="B276" s="140"/>
      <c r="C276" s="141"/>
      <c r="D276" s="142"/>
      <c r="E276" s="143"/>
      <c r="F276" s="144"/>
      <c r="G276" s="1"/>
      <c r="H276" s="131" t="str">
        <f t="shared" si="4"/>
        <v/>
      </c>
      <c r="I276" s="132" t="str">
        <f>IF(L276&gt;0,NbEch+Différé+1-H276,"")</f>
        <v/>
      </c>
      <c r="J276" s="145" t="str">
        <f t="shared" si="2"/>
        <v/>
      </c>
      <c r="K276" s="146" t="str">
        <f>IF(L276=0,"",IF(Ijour=0,MIN(DATE(YEAR(DebAmort),MONTH(DebAmort)+MoisD+(H276-1)*Imois,Jour2),DATE(YEAR(DebAmort),MONTH(DebAmort)+MoisD+1+(H276-1)*Imois,0)),DATE(YEAR(DebAmort),MONTH(DebAmort),Jour1+(H276-1)*Ijour)))</f>
        <v/>
      </c>
      <c r="L276" s="147">
        <f t="shared" si="5"/>
        <v>0</v>
      </c>
      <c r="M276" s="135">
        <f>IF(H276&lt;=NoEchMaxi,ROUND(L276*R276,NbDeci),0)</f>
        <v>0</v>
      </c>
      <c r="N276" s="134">
        <f>IF(OR(H276&lt;=Différé,H276&gt;NoEchMaxi),IF(DiffTotal,-M276,0),IF(H276&gt;=NoEchRemb,L276,IF(S276-(M276*EchFIXE)&gt;L276-2,L276,S276-(M276*EchFIXE))))+C276</f>
        <v>0</v>
      </c>
      <c r="O276" s="136">
        <f>IF(OR(L276=0,H276&gt;NoEchMaxi),0,ROUND(FraisF+FraisV*L276,NbDeci))+F276</f>
        <v>0</v>
      </c>
      <c r="P276" s="148">
        <f t="shared" si="3"/>
        <v>0</v>
      </c>
      <c r="Q276" s="1"/>
      <c r="R276" s="138">
        <f>IF(B276&gt;0,IF(TauxActuariel,((B276+1)^(1/NbEchAn))-1,B276/NbEchAn),R275)</f>
        <v>0.04</v>
      </c>
      <c r="S276" s="139">
        <f>IF(E276&gt;0,E276,IF(D276&gt;0,IF(AND(EchFIXE,R276&gt;0),ROUND((L276-C276)*R276/(1-((1+R276)^-D276)),NbDeci),ROUND(L276/D276,NbDeci)),S275))</f>
        <v>6664</v>
      </c>
      <c r="T276" s="1"/>
      <c r="U276" s="1"/>
      <c r="V276" s="1"/>
      <c r="W276" s="1"/>
      <c r="X276" s="1"/>
      <c r="Y276" s="1"/>
      <c r="Z276" s="1"/>
      <c r="AA276" s="1"/>
    </row>
    <row r="277" ht="12.75" customHeight="1">
      <c r="A277" s="1"/>
      <c r="B277" s="140"/>
      <c r="C277" s="141"/>
      <c r="D277" s="142"/>
      <c r="E277" s="143"/>
      <c r="F277" s="144"/>
      <c r="G277" s="1"/>
      <c r="H277" s="131" t="str">
        <f t="shared" si="4"/>
        <v/>
      </c>
      <c r="I277" s="132" t="str">
        <f>IF(L277&gt;0,NbEch+Différé+1-H277,"")</f>
        <v/>
      </c>
      <c r="J277" s="145" t="str">
        <f t="shared" si="2"/>
        <v/>
      </c>
      <c r="K277" s="146" t="str">
        <f>IF(L277=0,"",IF(Ijour=0,MIN(DATE(YEAR(DebAmort),MONTH(DebAmort)+(H277-1)*Imois,Jour1),DATE(YEAR(DebAmort),MONTH(DebAmort)+1+(H277-1)*Imois,0)),DATE(YEAR(DebAmort),MONTH(DebAmort),Jour1+(H277-1)*Ijour)))</f>
        <v/>
      </c>
      <c r="L277" s="147">
        <f t="shared" si="5"/>
        <v>0</v>
      </c>
      <c r="M277" s="135">
        <f>IF(H277&lt;=NoEchMaxi,ROUND(L277*R277,NbDeci),0)</f>
        <v>0</v>
      </c>
      <c r="N277" s="134">
        <f>IF(OR(H277&lt;=Différé,H277&gt;NoEchMaxi),IF(DiffTotal,-M277,0),IF(H277&gt;=NoEchRemb,L277,IF(S277-(M277*EchFIXE)&gt;L277-2,L277,S277-(M277*EchFIXE))))+C277</f>
        <v>0</v>
      </c>
      <c r="O277" s="136">
        <f>IF(OR(L277=0,H277&gt;NoEchMaxi),0,ROUND(FraisF+FraisV*L277,NbDeci))+F277</f>
        <v>0</v>
      </c>
      <c r="P277" s="148">
        <f t="shared" si="3"/>
        <v>0</v>
      </c>
      <c r="Q277" s="1"/>
      <c r="R277" s="138">
        <f>IF(B277&gt;0,IF(TauxActuariel,((B277+1)^(1/NbEchAn))-1,B277/NbEchAn),R276)</f>
        <v>0.04</v>
      </c>
      <c r="S277" s="139">
        <f>IF(E277&gt;0,E277,IF(D277&gt;0,IF(AND(EchFIXE,R277&gt;0),ROUND((L277-C277)*R277/(1-((1+R277)^-D277)),NbDeci),ROUND(L277/D277,NbDeci)),S276))</f>
        <v>6664</v>
      </c>
      <c r="T277" s="1"/>
      <c r="U277" s="1"/>
      <c r="V277" s="1"/>
      <c r="W277" s="1"/>
      <c r="X277" s="1"/>
      <c r="Y277" s="1"/>
      <c r="Z277" s="1"/>
      <c r="AA277" s="1"/>
    </row>
    <row r="278" ht="12.75" customHeight="1">
      <c r="A278" s="1"/>
      <c r="B278" s="140"/>
      <c r="C278" s="141"/>
      <c r="D278" s="142"/>
      <c r="E278" s="143"/>
      <c r="F278" s="144"/>
      <c r="G278" s="1"/>
      <c r="H278" s="131" t="str">
        <f t="shared" si="4"/>
        <v/>
      </c>
      <c r="I278" s="132" t="str">
        <f>IF(L278&gt;0,NbEch+Différé+1-H278,"")</f>
        <v/>
      </c>
      <c r="J278" s="145" t="str">
        <f t="shared" si="2"/>
        <v/>
      </c>
      <c r="K278" s="146" t="str">
        <f>IF(L278=0,"",IF(Ijour=0,MIN(DATE(YEAR(DebAmort),MONTH(DebAmort)+MoisD+(H278-1)*Imois,Jour2),DATE(YEAR(DebAmort),MONTH(DebAmort)+MoisD+1+(H278-1)*Imois,0)),DATE(YEAR(DebAmort),MONTH(DebAmort),Jour1+(H278-1)*Ijour)))</f>
        <v/>
      </c>
      <c r="L278" s="147">
        <f t="shared" si="5"/>
        <v>0</v>
      </c>
      <c r="M278" s="135">
        <f>IF(H278&lt;=NoEchMaxi,ROUND(L278*R278,NbDeci),0)</f>
        <v>0</v>
      </c>
      <c r="N278" s="134">
        <f>IF(OR(H278&lt;=Différé,H278&gt;NoEchMaxi),IF(DiffTotal,-M278,0),IF(H278&gt;=NoEchRemb,L278,IF(S278-(M278*EchFIXE)&gt;L278-2,L278,S278-(M278*EchFIXE))))+C278</f>
        <v>0</v>
      </c>
      <c r="O278" s="136">
        <f>IF(OR(L278=0,H278&gt;NoEchMaxi),0,ROUND(FraisF+FraisV*L278,NbDeci))+F278</f>
        <v>0</v>
      </c>
      <c r="P278" s="148">
        <f t="shared" si="3"/>
        <v>0</v>
      </c>
      <c r="Q278" s="1"/>
      <c r="R278" s="138">
        <f>IF(B278&gt;0,IF(TauxActuariel,((B278+1)^(1/NbEchAn))-1,B278/NbEchAn),R277)</f>
        <v>0.04</v>
      </c>
      <c r="S278" s="139">
        <f>IF(E278&gt;0,E278,IF(D278&gt;0,IF(AND(EchFIXE,R278&gt;0),ROUND((L278-C278)*R278/(1-((1+R278)^-D278)),NbDeci),ROUND(L278/D278,NbDeci)),S277))</f>
        <v>6664</v>
      </c>
      <c r="T278" s="1"/>
      <c r="U278" s="1"/>
      <c r="V278" s="1"/>
      <c r="W278" s="1"/>
      <c r="X278" s="1"/>
      <c r="Y278" s="1"/>
      <c r="Z278" s="1"/>
      <c r="AA278" s="1"/>
    </row>
    <row r="279" ht="12.75" customHeight="1">
      <c r="A279" s="1"/>
      <c r="B279" s="140"/>
      <c r="C279" s="141"/>
      <c r="D279" s="142"/>
      <c r="E279" s="143"/>
      <c r="F279" s="144"/>
      <c r="G279" s="1"/>
      <c r="H279" s="131" t="str">
        <f t="shared" si="4"/>
        <v/>
      </c>
      <c r="I279" s="132" t="str">
        <f>IF(L279&gt;0,NbEch+Différé+1-H279,"")</f>
        <v/>
      </c>
      <c r="J279" s="145" t="str">
        <f t="shared" si="2"/>
        <v/>
      </c>
      <c r="K279" s="146" t="str">
        <f>IF(L279=0,"",IF(Ijour=0,MIN(DATE(YEAR(DebAmort),MONTH(DebAmort)+(H279-1)*Imois,Jour1),DATE(YEAR(DebAmort),MONTH(DebAmort)+1+(H279-1)*Imois,0)),DATE(YEAR(DebAmort),MONTH(DebAmort),Jour1+(H279-1)*Ijour)))</f>
        <v/>
      </c>
      <c r="L279" s="147">
        <f t="shared" si="5"/>
        <v>0</v>
      </c>
      <c r="M279" s="135">
        <f>IF(H279&lt;=NoEchMaxi,ROUND(L279*R279,NbDeci),0)</f>
        <v>0</v>
      </c>
      <c r="N279" s="134">
        <f>IF(OR(H279&lt;=Différé,H279&gt;NoEchMaxi),IF(DiffTotal,-M279,0),IF(H279&gt;=NoEchRemb,L279,IF(S279-(M279*EchFIXE)&gt;L279-2,L279,S279-(M279*EchFIXE))))+C279</f>
        <v>0</v>
      </c>
      <c r="O279" s="136">
        <f>IF(OR(L279=0,H279&gt;NoEchMaxi),0,ROUND(FraisF+FraisV*L279,NbDeci))+F279</f>
        <v>0</v>
      </c>
      <c r="P279" s="148">
        <f t="shared" si="3"/>
        <v>0</v>
      </c>
      <c r="Q279" s="1"/>
      <c r="R279" s="138">
        <f>IF(B279&gt;0,IF(TauxActuariel,((B279+1)^(1/NbEchAn))-1,B279/NbEchAn),R278)</f>
        <v>0.04</v>
      </c>
      <c r="S279" s="139">
        <f>IF(E279&gt;0,E279,IF(D279&gt;0,IF(AND(EchFIXE,R279&gt;0),ROUND((L279-C279)*R279/(1-((1+R279)^-D279)),NbDeci),ROUND(L279/D279,NbDeci)),S278))</f>
        <v>6664</v>
      </c>
      <c r="T279" s="1"/>
      <c r="U279" s="1"/>
      <c r="V279" s="1"/>
      <c r="W279" s="1"/>
      <c r="X279" s="1"/>
      <c r="Y279" s="1"/>
      <c r="Z279" s="1"/>
      <c r="AA279" s="1"/>
    </row>
    <row r="280" ht="12.75" customHeight="1">
      <c r="A280" s="1"/>
      <c r="B280" s="140"/>
      <c r="C280" s="141"/>
      <c r="D280" s="142"/>
      <c r="E280" s="143"/>
      <c r="F280" s="144"/>
      <c r="G280" s="1"/>
      <c r="H280" s="131" t="str">
        <f t="shared" si="4"/>
        <v/>
      </c>
      <c r="I280" s="132" t="str">
        <f>IF(L280&gt;0,NbEch+Différé+1-H280,"")</f>
        <v/>
      </c>
      <c r="J280" s="145" t="str">
        <f t="shared" si="2"/>
        <v/>
      </c>
      <c r="K280" s="146" t="str">
        <f>IF(L280=0,"",IF(Ijour=0,MIN(DATE(YEAR(DebAmort),MONTH(DebAmort)+MoisD+(H280-1)*Imois,Jour2),DATE(YEAR(DebAmort),MONTH(DebAmort)+MoisD+1+(H280-1)*Imois,0)),DATE(YEAR(DebAmort),MONTH(DebAmort),Jour1+(H280-1)*Ijour)))</f>
        <v/>
      </c>
      <c r="L280" s="147">
        <f t="shared" si="5"/>
        <v>0</v>
      </c>
      <c r="M280" s="135">
        <f>IF(H280&lt;=NoEchMaxi,ROUND(L280*R280,NbDeci),0)</f>
        <v>0</v>
      </c>
      <c r="N280" s="134">
        <f>IF(OR(H280&lt;=Différé,H280&gt;NoEchMaxi),IF(DiffTotal,-M280,0),IF(H280&gt;=NoEchRemb,L280,IF(S280-(M280*EchFIXE)&gt;L280-2,L280,S280-(M280*EchFIXE))))+C280</f>
        <v>0</v>
      </c>
      <c r="O280" s="136">
        <f>IF(OR(L280=0,H280&gt;NoEchMaxi),0,ROUND(FraisF+FraisV*L280,NbDeci))+F280</f>
        <v>0</v>
      </c>
      <c r="P280" s="148">
        <f t="shared" si="3"/>
        <v>0</v>
      </c>
      <c r="Q280" s="1"/>
      <c r="R280" s="138">
        <f>IF(B280&gt;0,IF(TauxActuariel,((B280+1)^(1/NbEchAn))-1,B280/NbEchAn),R279)</f>
        <v>0.04</v>
      </c>
      <c r="S280" s="139">
        <f>IF(E280&gt;0,E280,IF(D280&gt;0,IF(AND(EchFIXE,R280&gt;0),ROUND((L280-C280)*R280/(1-((1+R280)^-D280)),NbDeci),ROUND(L280/D280,NbDeci)),S279))</f>
        <v>6664</v>
      </c>
      <c r="T280" s="1"/>
      <c r="U280" s="1"/>
      <c r="V280" s="1"/>
      <c r="W280" s="1"/>
      <c r="X280" s="1"/>
      <c r="Y280" s="1"/>
      <c r="Z280" s="1"/>
      <c r="AA280" s="1"/>
    </row>
    <row r="281" ht="12.75" customHeight="1">
      <c r="A281" s="1"/>
      <c r="B281" s="140"/>
      <c r="C281" s="141"/>
      <c r="D281" s="142"/>
      <c r="E281" s="143"/>
      <c r="F281" s="144"/>
      <c r="G281" s="1"/>
      <c r="H281" s="131" t="str">
        <f t="shared" si="4"/>
        <v/>
      </c>
      <c r="I281" s="132" t="str">
        <f>IF(L281&gt;0,NbEch+Différé+1-H281,"")</f>
        <v/>
      </c>
      <c r="J281" s="145" t="str">
        <f t="shared" si="2"/>
        <v/>
      </c>
      <c r="K281" s="146" t="str">
        <f>IF(L281=0,"",IF(Ijour=0,MIN(DATE(YEAR(DebAmort),MONTH(DebAmort)+(H281-1)*Imois,Jour1),DATE(YEAR(DebAmort),MONTH(DebAmort)+1+(H281-1)*Imois,0)),DATE(YEAR(DebAmort),MONTH(DebAmort),Jour1+(H281-1)*Ijour)))</f>
        <v/>
      </c>
      <c r="L281" s="147">
        <f t="shared" si="5"/>
        <v>0</v>
      </c>
      <c r="M281" s="135">
        <f>IF(H281&lt;=NoEchMaxi,ROUND(L281*R281,NbDeci),0)</f>
        <v>0</v>
      </c>
      <c r="N281" s="134">
        <f>IF(OR(H281&lt;=Différé,H281&gt;NoEchMaxi),IF(DiffTotal,-M281,0),IF(H281&gt;=NoEchRemb,L281,IF(S281-(M281*EchFIXE)&gt;L281-2,L281,S281-(M281*EchFIXE))))+C281</f>
        <v>0</v>
      </c>
      <c r="O281" s="136">
        <f>IF(OR(L281=0,H281&gt;NoEchMaxi),0,ROUND(FraisF+FraisV*L281,NbDeci))+F281</f>
        <v>0</v>
      </c>
      <c r="P281" s="148">
        <f t="shared" si="3"/>
        <v>0</v>
      </c>
      <c r="Q281" s="1"/>
      <c r="R281" s="138">
        <f>IF(B281&gt;0,IF(TauxActuariel,((B281+1)^(1/NbEchAn))-1,B281/NbEchAn),R280)</f>
        <v>0.04</v>
      </c>
      <c r="S281" s="139">
        <f>IF(E281&gt;0,E281,IF(D281&gt;0,IF(AND(EchFIXE,R281&gt;0),ROUND((L281-C281)*R281/(1-((1+R281)^-D281)),NbDeci),ROUND(L281/D281,NbDeci)),S280))</f>
        <v>6664</v>
      </c>
      <c r="T281" s="1"/>
      <c r="U281" s="1"/>
      <c r="V281" s="1"/>
      <c r="W281" s="1"/>
      <c r="X281" s="1"/>
      <c r="Y281" s="1"/>
      <c r="Z281" s="1"/>
      <c r="AA281" s="1"/>
    </row>
    <row r="282" ht="12.75" customHeight="1">
      <c r="A282" s="1"/>
      <c r="B282" s="140"/>
      <c r="C282" s="141"/>
      <c r="D282" s="142"/>
      <c r="E282" s="143"/>
      <c r="F282" s="144"/>
      <c r="G282" s="1"/>
      <c r="H282" s="131" t="str">
        <f t="shared" si="4"/>
        <v/>
      </c>
      <c r="I282" s="132" t="str">
        <f>IF(L282&gt;0,NbEch+Différé+1-H282,"")</f>
        <v/>
      </c>
      <c r="J282" s="145" t="str">
        <f t="shared" si="2"/>
        <v/>
      </c>
      <c r="K282" s="146" t="str">
        <f>IF(L282=0,"",IF(Ijour=0,MIN(DATE(YEAR(DebAmort),MONTH(DebAmort)+MoisD+(H282-1)*Imois,Jour2),DATE(YEAR(DebAmort),MONTH(DebAmort)+MoisD+1+(H282-1)*Imois,0)),DATE(YEAR(DebAmort),MONTH(DebAmort),Jour1+(H282-1)*Ijour)))</f>
        <v/>
      </c>
      <c r="L282" s="147">
        <f t="shared" si="5"/>
        <v>0</v>
      </c>
      <c r="M282" s="135">
        <f>IF(H282&lt;=NoEchMaxi,ROUND(L282*R282,NbDeci),0)</f>
        <v>0</v>
      </c>
      <c r="N282" s="134">
        <f>IF(OR(H282&lt;=Différé,H282&gt;NoEchMaxi),IF(DiffTotal,-M282,0),IF(H282&gt;=NoEchRemb,L282,IF(S282-(M282*EchFIXE)&gt;L282-2,L282,S282-(M282*EchFIXE))))+C282</f>
        <v>0</v>
      </c>
      <c r="O282" s="136">
        <f>IF(OR(L282=0,H282&gt;NoEchMaxi),0,ROUND(FraisF+FraisV*L282,NbDeci))+F282</f>
        <v>0</v>
      </c>
      <c r="P282" s="148">
        <f t="shared" si="3"/>
        <v>0</v>
      </c>
      <c r="Q282" s="1"/>
      <c r="R282" s="138">
        <f>IF(B282&gt;0,IF(TauxActuariel,((B282+1)^(1/NbEchAn))-1,B282/NbEchAn),R281)</f>
        <v>0.04</v>
      </c>
      <c r="S282" s="139">
        <f>IF(E282&gt;0,E282,IF(D282&gt;0,IF(AND(EchFIXE,R282&gt;0),ROUND((L282-C282)*R282/(1-((1+R282)^-D282)),NbDeci),ROUND(L282/D282,NbDeci)),S281))</f>
        <v>6664</v>
      </c>
      <c r="T282" s="1"/>
      <c r="U282" s="1"/>
      <c r="V282" s="1"/>
      <c r="W282" s="1"/>
      <c r="X282" s="1"/>
      <c r="Y282" s="1"/>
      <c r="Z282" s="1"/>
      <c r="AA282" s="1"/>
    </row>
    <row r="283" ht="12.75" customHeight="1">
      <c r="A283" s="1"/>
      <c r="B283" s="140"/>
      <c r="C283" s="141"/>
      <c r="D283" s="142"/>
      <c r="E283" s="143"/>
      <c r="F283" s="144"/>
      <c r="G283" s="1"/>
      <c r="H283" s="131" t="str">
        <f t="shared" si="4"/>
        <v/>
      </c>
      <c r="I283" s="132" t="str">
        <f>IF(L283&gt;0,NbEch+Différé+1-H283,"")</f>
        <v/>
      </c>
      <c r="J283" s="145" t="str">
        <f t="shared" si="2"/>
        <v/>
      </c>
      <c r="K283" s="146" t="str">
        <f>IF(L283=0,"",IF(Ijour=0,MIN(DATE(YEAR(DebAmort),MONTH(DebAmort)+(H283-1)*Imois,Jour1),DATE(YEAR(DebAmort),MONTH(DebAmort)+1+(H283-1)*Imois,0)),DATE(YEAR(DebAmort),MONTH(DebAmort),Jour1+(H283-1)*Ijour)))</f>
        <v/>
      </c>
      <c r="L283" s="147">
        <f t="shared" si="5"/>
        <v>0</v>
      </c>
      <c r="M283" s="135">
        <f>IF(H283&lt;=NoEchMaxi,ROUND(L283*R283,NbDeci),0)</f>
        <v>0</v>
      </c>
      <c r="N283" s="134">
        <f>IF(OR(H283&lt;=Différé,H283&gt;NoEchMaxi),IF(DiffTotal,-M283,0),IF(H283&gt;=NoEchRemb,L283,IF(S283-(M283*EchFIXE)&gt;L283-2,L283,S283-(M283*EchFIXE))))+C283</f>
        <v>0</v>
      </c>
      <c r="O283" s="136">
        <f>IF(OR(L283=0,H283&gt;NoEchMaxi),0,ROUND(FraisF+FraisV*L283,NbDeci))+F283</f>
        <v>0</v>
      </c>
      <c r="P283" s="148">
        <f t="shared" si="3"/>
        <v>0</v>
      </c>
      <c r="Q283" s="1"/>
      <c r="R283" s="138">
        <f>IF(B283&gt;0,IF(TauxActuariel,((B283+1)^(1/NbEchAn))-1,B283/NbEchAn),R282)</f>
        <v>0.04</v>
      </c>
      <c r="S283" s="139">
        <f>IF(E283&gt;0,E283,IF(D283&gt;0,IF(AND(EchFIXE,R283&gt;0),ROUND((L283-C283)*R283/(1-((1+R283)^-D283)),NbDeci),ROUND(L283/D283,NbDeci)),S282))</f>
        <v>6664</v>
      </c>
      <c r="T283" s="1"/>
      <c r="U283" s="1"/>
      <c r="V283" s="1"/>
      <c r="W283" s="1"/>
      <c r="X283" s="1"/>
      <c r="Y283" s="1"/>
      <c r="Z283" s="1"/>
      <c r="AA283" s="1"/>
    </row>
    <row r="284" ht="12.75" customHeight="1">
      <c r="A284" s="1"/>
      <c r="B284" s="140"/>
      <c r="C284" s="141"/>
      <c r="D284" s="142"/>
      <c r="E284" s="143"/>
      <c r="F284" s="144"/>
      <c r="G284" s="1"/>
      <c r="H284" s="131" t="str">
        <f t="shared" si="4"/>
        <v/>
      </c>
      <c r="I284" s="132" t="str">
        <f>IF(L284&gt;0,NbEch+Différé+1-H284,"")</f>
        <v/>
      </c>
      <c r="J284" s="145" t="str">
        <f t="shared" si="2"/>
        <v/>
      </c>
      <c r="K284" s="146" t="str">
        <f>IF(L284=0,"",IF(Ijour=0,MIN(DATE(YEAR(DebAmort),MONTH(DebAmort)+MoisD+(H284-1)*Imois,Jour2),DATE(YEAR(DebAmort),MONTH(DebAmort)+MoisD+1+(H284-1)*Imois,0)),DATE(YEAR(DebAmort),MONTH(DebAmort),Jour1+(H284-1)*Ijour)))</f>
        <v/>
      </c>
      <c r="L284" s="147">
        <f t="shared" si="5"/>
        <v>0</v>
      </c>
      <c r="M284" s="135">
        <f>IF(H284&lt;=NoEchMaxi,ROUND(L284*R284,NbDeci),0)</f>
        <v>0</v>
      </c>
      <c r="N284" s="134">
        <f>IF(OR(H284&lt;=Différé,H284&gt;NoEchMaxi),IF(DiffTotal,-M284,0),IF(H284&gt;=NoEchRemb,L284,IF(S284-(M284*EchFIXE)&gt;L284-2,L284,S284-(M284*EchFIXE))))+C284</f>
        <v>0</v>
      </c>
      <c r="O284" s="136">
        <f>IF(OR(L284=0,H284&gt;NoEchMaxi),0,ROUND(FraisF+FraisV*L284,NbDeci))+F284</f>
        <v>0</v>
      </c>
      <c r="P284" s="148">
        <f t="shared" si="3"/>
        <v>0</v>
      </c>
      <c r="Q284" s="1"/>
      <c r="R284" s="138">
        <f>IF(B284&gt;0,IF(TauxActuariel,((B284+1)^(1/NbEchAn))-1,B284/NbEchAn),R283)</f>
        <v>0.04</v>
      </c>
      <c r="S284" s="139">
        <f>IF(E284&gt;0,E284,IF(D284&gt;0,IF(AND(EchFIXE,R284&gt;0),ROUND((L284-C284)*R284/(1-((1+R284)^-D284)),NbDeci),ROUND(L284/D284,NbDeci)),S283))</f>
        <v>6664</v>
      </c>
      <c r="T284" s="1"/>
      <c r="U284" s="1"/>
      <c r="V284" s="1"/>
      <c r="W284" s="1"/>
      <c r="X284" s="1"/>
      <c r="Y284" s="1"/>
      <c r="Z284" s="1"/>
      <c r="AA284" s="1"/>
    </row>
    <row r="285" ht="12.75" customHeight="1">
      <c r="A285" s="1"/>
      <c r="B285" s="140"/>
      <c r="C285" s="141"/>
      <c r="D285" s="142"/>
      <c r="E285" s="143"/>
      <c r="F285" s="144"/>
      <c r="G285" s="1"/>
      <c r="H285" s="131" t="str">
        <f t="shared" si="4"/>
        <v/>
      </c>
      <c r="I285" s="132" t="str">
        <f>IF(L285&gt;0,NbEch+Différé+1-H285,"")</f>
        <v/>
      </c>
      <c r="J285" s="145" t="str">
        <f t="shared" si="2"/>
        <v/>
      </c>
      <c r="K285" s="146" t="str">
        <f>IF(L285=0,"",IF(Ijour=0,MIN(DATE(YEAR(DebAmort),MONTH(DebAmort)+(H285-1)*Imois,Jour1),DATE(YEAR(DebAmort),MONTH(DebAmort)+1+(H285-1)*Imois,0)),DATE(YEAR(DebAmort),MONTH(DebAmort),Jour1+(H285-1)*Ijour)))</f>
        <v/>
      </c>
      <c r="L285" s="147">
        <f t="shared" si="5"/>
        <v>0</v>
      </c>
      <c r="M285" s="135">
        <f>IF(H285&lt;=NoEchMaxi,ROUND(L285*R285,NbDeci),0)</f>
        <v>0</v>
      </c>
      <c r="N285" s="134">
        <f>IF(OR(H285&lt;=Différé,H285&gt;NoEchMaxi),IF(DiffTotal,-M285,0),IF(H285&gt;=NoEchRemb,L285,IF(S285-(M285*EchFIXE)&gt;L285-2,L285,S285-(M285*EchFIXE))))+C285</f>
        <v>0</v>
      </c>
      <c r="O285" s="136">
        <f>IF(OR(L285=0,H285&gt;NoEchMaxi),0,ROUND(FraisF+FraisV*L285,NbDeci))+F285</f>
        <v>0</v>
      </c>
      <c r="P285" s="148">
        <f t="shared" si="3"/>
        <v>0</v>
      </c>
      <c r="Q285" s="1"/>
      <c r="R285" s="138">
        <f>IF(B285&gt;0,IF(TauxActuariel,((B285+1)^(1/NbEchAn))-1,B285/NbEchAn),R284)</f>
        <v>0.04</v>
      </c>
      <c r="S285" s="139">
        <f>IF(E285&gt;0,E285,IF(D285&gt;0,IF(AND(EchFIXE,R285&gt;0),ROUND((L285-C285)*R285/(1-((1+R285)^-D285)),NbDeci),ROUND(L285/D285,NbDeci)),S284))</f>
        <v>6664</v>
      </c>
      <c r="T285" s="1"/>
      <c r="U285" s="1"/>
      <c r="V285" s="1"/>
      <c r="W285" s="1"/>
      <c r="X285" s="1"/>
      <c r="Y285" s="1"/>
      <c r="Z285" s="1"/>
      <c r="AA285" s="1"/>
    </row>
    <row r="286" ht="12.75" customHeight="1">
      <c r="A286" s="1"/>
      <c r="B286" s="140"/>
      <c r="C286" s="141"/>
      <c r="D286" s="142"/>
      <c r="E286" s="143"/>
      <c r="F286" s="144"/>
      <c r="G286" s="1"/>
      <c r="H286" s="131" t="str">
        <f t="shared" si="4"/>
        <v/>
      </c>
      <c r="I286" s="132" t="str">
        <f>IF(L286&gt;0,NbEch+Différé+1-H286,"")</f>
        <v/>
      </c>
      <c r="J286" s="145" t="str">
        <f t="shared" si="2"/>
        <v/>
      </c>
      <c r="K286" s="146" t="str">
        <f>IF(L286=0,"",IF(Ijour=0,MIN(DATE(YEAR(DebAmort),MONTH(DebAmort)+MoisD+(H286-1)*Imois,Jour2),DATE(YEAR(DebAmort),MONTH(DebAmort)+MoisD+1+(H286-1)*Imois,0)),DATE(YEAR(DebAmort),MONTH(DebAmort),Jour1+(H286-1)*Ijour)))</f>
        <v/>
      </c>
      <c r="L286" s="147">
        <f t="shared" si="5"/>
        <v>0</v>
      </c>
      <c r="M286" s="135">
        <f>IF(H286&lt;=NoEchMaxi,ROUND(L286*R286,NbDeci),0)</f>
        <v>0</v>
      </c>
      <c r="N286" s="134">
        <f>IF(OR(H286&lt;=Différé,H286&gt;NoEchMaxi),IF(DiffTotal,-M286,0),IF(H286&gt;=NoEchRemb,L286,IF(S286-(M286*EchFIXE)&gt;L286-2,L286,S286-(M286*EchFIXE))))+C286</f>
        <v>0</v>
      </c>
      <c r="O286" s="136">
        <f>IF(OR(L286=0,H286&gt;NoEchMaxi),0,ROUND(FraisF+FraisV*L286,NbDeci))+F286</f>
        <v>0</v>
      </c>
      <c r="P286" s="148">
        <f t="shared" si="3"/>
        <v>0</v>
      </c>
      <c r="Q286" s="1"/>
      <c r="R286" s="138">
        <f>IF(B286&gt;0,IF(TauxActuariel,((B286+1)^(1/NbEchAn))-1,B286/NbEchAn),R285)</f>
        <v>0.04</v>
      </c>
      <c r="S286" s="139">
        <f>IF(E286&gt;0,E286,IF(D286&gt;0,IF(AND(EchFIXE,R286&gt;0),ROUND((L286-C286)*R286/(1-((1+R286)^-D286)),NbDeci),ROUND(L286/D286,NbDeci)),S285))</f>
        <v>6664</v>
      </c>
      <c r="T286" s="1"/>
      <c r="U286" s="1"/>
      <c r="V286" s="1"/>
      <c r="W286" s="1"/>
      <c r="X286" s="1"/>
      <c r="Y286" s="1"/>
      <c r="Z286" s="1"/>
      <c r="AA286" s="1"/>
    </row>
    <row r="287" ht="12.75" customHeight="1">
      <c r="A287" s="1"/>
      <c r="B287" s="140"/>
      <c r="C287" s="141"/>
      <c r="D287" s="142"/>
      <c r="E287" s="143"/>
      <c r="F287" s="144"/>
      <c r="G287" s="1"/>
      <c r="H287" s="131" t="str">
        <f t="shared" si="4"/>
        <v/>
      </c>
      <c r="I287" s="132" t="str">
        <f>IF(L287&gt;0,NbEch+Différé+1-H287,"")</f>
        <v/>
      </c>
      <c r="J287" s="145" t="str">
        <f t="shared" si="2"/>
        <v/>
      </c>
      <c r="K287" s="146" t="str">
        <f>IF(L287=0,"",IF(Ijour=0,MIN(DATE(YEAR(DebAmort),MONTH(DebAmort)+(H287-1)*Imois,Jour1),DATE(YEAR(DebAmort),MONTH(DebAmort)+1+(H287-1)*Imois,0)),DATE(YEAR(DebAmort),MONTH(DebAmort),Jour1+(H287-1)*Ijour)))</f>
        <v/>
      </c>
      <c r="L287" s="147">
        <f t="shared" si="5"/>
        <v>0</v>
      </c>
      <c r="M287" s="135">
        <f>IF(H287&lt;=NoEchMaxi,ROUND(L287*R287,NbDeci),0)</f>
        <v>0</v>
      </c>
      <c r="N287" s="134">
        <f>IF(OR(H287&lt;=Différé,H287&gt;NoEchMaxi),IF(DiffTotal,-M287,0),IF(H287&gt;=NoEchRemb,L287,IF(S287-(M287*EchFIXE)&gt;L287-2,L287,S287-(M287*EchFIXE))))+C287</f>
        <v>0</v>
      </c>
      <c r="O287" s="136">
        <f>IF(OR(L287=0,H287&gt;NoEchMaxi),0,ROUND(FraisF+FraisV*L287,NbDeci))+F287</f>
        <v>0</v>
      </c>
      <c r="P287" s="148">
        <f t="shared" si="3"/>
        <v>0</v>
      </c>
      <c r="Q287" s="1"/>
      <c r="R287" s="138">
        <f>IF(B287&gt;0,IF(TauxActuariel,((B287+1)^(1/NbEchAn))-1,B287/NbEchAn),R286)</f>
        <v>0.04</v>
      </c>
      <c r="S287" s="139">
        <f>IF(E287&gt;0,E287,IF(D287&gt;0,IF(AND(EchFIXE,R287&gt;0),ROUND((L287-C287)*R287/(1-((1+R287)^-D287)),NbDeci),ROUND(L287/D287,NbDeci)),S286))</f>
        <v>6664</v>
      </c>
      <c r="T287" s="1"/>
      <c r="U287" s="1"/>
      <c r="V287" s="1"/>
      <c r="W287" s="1"/>
      <c r="X287" s="1"/>
      <c r="Y287" s="1"/>
      <c r="Z287" s="1"/>
      <c r="AA287" s="1"/>
    </row>
    <row r="288" ht="12.75" customHeight="1">
      <c r="A288" s="1"/>
      <c r="B288" s="140"/>
      <c r="C288" s="141"/>
      <c r="D288" s="142"/>
      <c r="E288" s="143"/>
      <c r="F288" s="144"/>
      <c r="G288" s="1"/>
      <c r="H288" s="131" t="str">
        <f t="shared" si="4"/>
        <v/>
      </c>
      <c r="I288" s="132" t="str">
        <f>IF(L288&gt;0,NbEch+Différé+1-H288,"")</f>
        <v/>
      </c>
      <c r="J288" s="145" t="str">
        <f t="shared" si="2"/>
        <v/>
      </c>
      <c r="K288" s="146" t="str">
        <f>IF(L288=0,"",IF(Ijour=0,MIN(DATE(YEAR(DebAmort),MONTH(DebAmort)+MoisD+(H288-1)*Imois,Jour2),DATE(YEAR(DebAmort),MONTH(DebAmort)+MoisD+1+(H288-1)*Imois,0)),DATE(YEAR(DebAmort),MONTH(DebAmort),Jour1+(H288-1)*Ijour)))</f>
        <v/>
      </c>
      <c r="L288" s="147">
        <f t="shared" si="5"/>
        <v>0</v>
      </c>
      <c r="M288" s="135">
        <f>IF(H288&lt;=NoEchMaxi,ROUND(L288*R288,NbDeci),0)</f>
        <v>0</v>
      </c>
      <c r="N288" s="134">
        <f>IF(OR(H288&lt;=Différé,H288&gt;NoEchMaxi),IF(DiffTotal,-M288,0),IF(H288&gt;=NoEchRemb,L288,IF(S288-(M288*EchFIXE)&gt;L288-2,L288,S288-(M288*EchFIXE))))+C288</f>
        <v>0</v>
      </c>
      <c r="O288" s="136">
        <f>IF(OR(L288=0,H288&gt;NoEchMaxi),0,ROUND(FraisF+FraisV*L288,NbDeci))+F288</f>
        <v>0</v>
      </c>
      <c r="P288" s="148">
        <f t="shared" si="3"/>
        <v>0</v>
      </c>
      <c r="Q288" s="1"/>
      <c r="R288" s="138">
        <f>IF(B288&gt;0,IF(TauxActuariel,((B288+1)^(1/NbEchAn))-1,B288/NbEchAn),R287)</f>
        <v>0.04</v>
      </c>
      <c r="S288" s="139">
        <f>IF(E288&gt;0,E288,IF(D288&gt;0,IF(AND(EchFIXE,R288&gt;0),ROUND((L288-C288)*R288/(1-((1+R288)^-D288)),NbDeci),ROUND(L288/D288,NbDeci)),S287))</f>
        <v>6664</v>
      </c>
      <c r="T288" s="1"/>
      <c r="U288" s="1"/>
      <c r="V288" s="1"/>
      <c r="W288" s="1"/>
      <c r="X288" s="1"/>
      <c r="Y288" s="1"/>
      <c r="Z288" s="1"/>
      <c r="AA288" s="1"/>
    </row>
    <row r="289" ht="12.75" customHeight="1">
      <c r="A289" s="1"/>
      <c r="B289" s="140"/>
      <c r="C289" s="141"/>
      <c r="D289" s="142"/>
      <c r="E289" s="143"/>
      <c r="F289" s="144"/>
      <c r="G289" s="1"/>
      <c r="H289" s="131" t="str">
        <f t="shared" si="4"/>
        <v/>
      </c>
      <c r="I289" s="132" t="str">
        <f>IF(L289&gt;0,NbEch+Différé+1-H289,"")</f>
        <v/>
      </c>
      <c r="J289" s="145" t="str">
        <f t="shared" si="2"/>
        <v/>
      </c>
      <c r="K289" s="146" t="str">
        <f>IF(L289=0,"",IF(Ijour=0,MIN(DATE(YEAR(DebAmort),MONTH(DebAmort)+(H289-1)*Imois,Jour1),DATE(YEAR(DebAmort),MONTH(DebAmort)+1+(H289-1)*Imois,0)),DATE(YEAR(DebAmort),MONTH(DebAmort),Jour1+(H289-1)*Ijour)))</f>
        <v/>
      </c>
      <c r="L289" s="147">
        <f t="shared" si="5"/>
        <v>0</v>
      </c>
      <c r="M289" s="135">
        <f>IF(H289&lt;=NoEchMaxi,ROUND(L289*R289,NbDeci),0)</f>
        <v>0</v>
      </c>
      <c r="N289" s="134">
        <f>IF(OR(H289&lt;=Différé,H289&gt;NoEchMaxi),IF(DiffTotal,-M289,0),IF(H289&gt;=NoEchRemb,L289,IF(S289-(M289*EchFIXE)&gt;L289-2,L289,S289-(M289*EchFIXE))))+C289</f>
        <v>0</v>
      </c>
      <c r="O289" s="136">
        <f>IF(OR(L289=0,H289&gt;NoEchMaxi),0,ROUND(FraisF+FraisV*L289,NbDeci))+F289</f>
        <v>0</v>
      </c>
      <c r="P289" s="148">
        <f t="shared" si="3"/>
        <v>0</v>
      </c>
      <c r="Q289" s="1"/>
      <c r="R289" s="138">
        <f>IF(B289&gt;0,IF(TauxActuariel,((B289+1)^(1/NbEchAn))-1,B289/NbEchAn),R288)</f>
        <v>0.04</v>
      </c>
      <c r="S289" s="139">
        <f>IF(E289&gt;0,E289,IF(D289&gt;0,IF(AND(EchFIXE,R289&gt;0),ROUND((L289-C289)*R289/(1-((1+R289)^-D289)),NbDeci),ROUND(L289/D289,NbDeci)),S288))</f>
        <v>6664</v>
      </c>
      <c r="T289" s="1"/>
      <c r="U289" s="1"/>
      <c r="V289" s="1"/>
      <c r="W289" s="1"/>
      <c r="X289" s="1"/>
      <c r="Y289" s="1"/>
      <c r="Z289" s="1"/>
      <c r="AA289" s="1"/>
    </row>
    <row r="290" ht="12.75" customHeight="1">
      <c r="A290" s="1"/>
      <c r="B290" s="140"/>
      <c r="C290" s="141"/>
      <c r="D290" s="142"/>
      <c r="E290" s="143"/>
      <c r="F290" s="144"/>
      <c r="G290" s="1"/>
      <c r="H290" s="131" t="str">
        <f t="shared" si="4"/>
        <v/>
      </c>
      <c r="I290" s="132" t="str">
        <f>IF(L290&gt;0,NbEch+Différé+1-H290,"")</f>
        <v/>
      </c>
      <c r="J290" s="145" t="str">
        <f t="shared" si="2"/>
        <v/>
      </c>
      <c r="K290" s="146" t="str">
        <f>IF(L290=0,"",IF(Ijour=0,MIN(DATE(YEAR(DebAmort),MONTH(DebAmort)+MoisD+(H290-1)*Imois,Jour2),DATE(YEAR(DebAmort),MONTH(DebAmort)+MoisD+1+(H290-1)*Imois,0)),DATE(YEAR(DebAmort),MONTH(DebAmort),Jour1+(H290-1)*Ijour)))</f>
        <v/>
      </c>
      <c r="L290" s="147">
        <f t="shared" si="5"/>
        <v>0</v>
      </c>
      <c r="M290" s="135">
        <f>IF(H290&lt;=NoEchMaxi,ROUND(L290*R290,NbDeci),0)</f>
        <v>0</v>
      </c>
      <c r="N290" s="134">
        <f>IF(OR(H290&lt;=Différé,H290&gt;NoEchMaxi),IF(DiffTotal,-M290,0),IF(H290&gt;=NoEchRemb,L290,IF(S290-(M290*EchFIXE)&gt;L290-2,L290,S290-(M290*EchFIXE))))+C290</f>
        <v>0</v>
      </c>
      <c r="O290" s="136">
        <f>IF(OR(L290=0,H290&gt;NoEchMaxi),0,ROUND(FraisF+FraisV*L290,NbDeci))+F290</f>
        <v>0</v>
      </c>
      <c r="P290" s="148">
        <f t="shared" si="3"/>
        <v>0</v>
      </c>
      <c r="Q290" s="1"/>
      <c r="R290" s="138">
        <f>IF(B290&gt;0,IF(TauxActuariel,((B290+1)^(1/NbEchAn))-1,B290/NbEchAn),R289)</f>
        <v>0.04</v>
      </c>
      <c r="S290" s="139">
        <f>IF(E290&gt;0,E290,IF(D290&gt;0,IF(AND(EchFIXE,R290&gt;0),ROUND((L290-C290)*R290/(1-((1+R290)^-D290)),NbDeci),ROUND(L290/D290,NbDeci)),S289))</f>
        <v>6664</v>
      </c>
      <c r="T290" s="1"/>
      <c r="U290" s="1"/>
      <c r="V290" s="1"/>
      <c r="W290" s="1"/>
      <c r="X290" s="1"/>
      <c r="Y290" s="1"/>
      <c r="Z290" s="1"/>
      <c r="AA290" s="1"/>
    </row>
    <row r="291" ht="12.75" customHeight="1">
      <c r="A291" s="1"/>
      <c r="B291" s="140"/>
      <c r="C291" s="141"/>
      <c r="D291" s="142"/>
      <c r="E291" s="143"/>
      <c r="F291" s="144"/>
      <c r="G291" s="1"/>
      <c r="H291" s="131" t="str">
        <f t="shared" si="4"/>
        <v/>
      </c>
      <c r="I291" s="132" t="str">
        <f>IF(L291&gt;0,NbEch+Différé+1-H291,"")</f>
        <v/>
      </c>
      <c r="J291" s="145" t="str">
        <f t="shared" si="2"/>
        <v/>
      </c>
      <c r="K291" s="146" t="str">
        <f>IF(L291=0,"",IF(Ijour=0,MIN(DATE(YEAR(DebAmort),MONTH(DebAmort)+(H291-1)*Imois,Jour1),DATE(YEAR(DebAmort),MONTH(DebAmort)+1+(H291-1)*Imois,0)),DATE(YEAR(DebAmort),MONTH(DebAmort),Jour1+(H291-1)*Ijour)))</f>
        <v/>
      </c>
      <c r="L291" s="147">
        <f t="shared" si="5"/>
        <v>0</v>
      </c>
      <c r="M291" s="135">
        <f>IF(H291&lt;=NoEchMaxi,ROUND(L291*R291,NbDeci),0)</f>
        <v>0</v>
      </c>
      <c r="N291" s="134">
        <f>IF(OR(H291&lt;=Différé,H291&gt;NoEchMaxi),IF(DiffTotal,-M291,0),IF(H291&gt;=NoEchRemb,L291,IF(S291-(M291*EchFIXE)&gt;L291-2,L291,S291-(M291*EchFIXE))))+C291</f>
        <v>0</v>
      </c>
      <c r="O291" s="136">
        <f>IF(OR(L291=0,H291&gt;NoEchMaxi),0,ROUND(FraisF+FraisV*L291,NbDeci))+F291</f>
        <v>0</v>
      </c>
      <c r="P291" s="148">
        <f t="shared" si="3"/>
        <v>0</v>
      </c>
      <c r="Q291" s="1"/>
      <c r="R291" s="138">
        <f>IF(B291&gt;0,IF(TauxActuariel,((B291+1)^(1/NbEchAn))-1,B291/NbEchAn),R290)</f>
        <v>0.04</v>
      </c>
      <c r="S291" s="139">
        <f>IF(E291&gt;0,E291,IF(D291&gt;0,IF(AND(EchFIXE,R291&gt;0),ROUND((L291-C291)*R291/(1-((1+R291)^-D291)),NbDeci),ROUND(L291/D291,NbDeci)),S290))</f>
        <v>6664</v>
      </c>
      <c r="T291" s="1"/>
      <c r="U291" s="1"/>
      <c r="V291" s="1"/>
      <c r="W291" s="1"/>
      <c r="X291" s="1"/>
      <c r="Y291" s="1"/>
      <c r="Z291" s="1"/>
      <c r="AA291" s="1"/>
    </row>
    <row r="292" ht="12.75" customHeight="1">
      <c r="A292" s="1"/>
      <c r="B292" s="140"/>
      <c r="C292" s="141"/>
      <c r="D292" s="142"/>
      <c r="E292" s="143"/>
      <c r="F292" s="144"/>
      <c r="G292" s="1"/>
      <c r="H292" s="131" t="str">
        <f t="shared" si="4"/>
        <v/>
      </c>
      <c r="I292" s="132" t="str">
        <f>IF(L292&gt;0,NbEch+Différé+1-H292,"")</f>
        <v/>
      </c>
      <c r="J292" s="145" t="str">
        <f t="shared" si="2"/>
        <v/>
      </c>
      <c r="K292" s="146" t="str">
        <f>IF(L292=0,"",IF(Ijour=0,MIN(DATE(YEAR(DebAmort),MONTH(DebAmort)+MoisD+(H292-1)*Imois,Jour2),DATE(YEAR(DebAmort),MONTH(DebAmort)+MoisD+1+(H292-1)*Imois,0)),DATE(YEAR(DebAmort),MONTH(DebAmort),Jour1+(H292-1)*Ijour)))</f>
        <v/>
      </c>
      <c r="L292" s="147">
        <f t="shared" si="5"/>
        <v>0</v>
      </c>
      <c r="M292" s="135">
        <f>IF(H292&lt;=NoEchMaxi,ROUND(L292*R292,NbDeci),0)</f>
        <v>0</v>
      </c>
      <c r="N292" s="134">
        <f>IF(OR(H292&lt;=Différé,H292&gt;NoEchMaxi),IF(DiffTotal,-M292,0),IF(H292&gt;=NoEchRemb,L292,IF(S292-(M292*EchFIXE)&gt;L292-2,L292,S292-(M292*EchFIXE))))+C292</f>
        <v>0</v>
      </c>
      <c r="O292" s="136">
        <f>IF(OR(L292=0,H292&gt;NoEchMaxi),0,ROUND(FraisF+FraisV*L292,NbDeci))+F292</f>
        <v>0</v>
      </c>
      <c r="P292" s="148">
        <f t="shared" si="3"/>
        <v>0</v>
      </c>
      <c r="Q292" s="1"/>
      <c r="R292" s="138">
        <f>IF(B292&gt;0,IF(TauxActuariel,((B292+1)^(1/NbEchAn))-1,B292/NbEchAn),R291)</f>
        <v>0.04</v>
      </c>
      <c r="S292" s="139">
        <f>IF(E292&gt;0,E292,IF(D292&gt;0,IF(AND(EchFIXE,R292&gt;0),ROUND((L292-C292)*R292/(1-((1+R292)^-D292)),NbDeci),ROUND(L292/D292,NbDeci)),S291))</f>
        <v>6664</v>
      </c>
      <c r="T292" s="1"/>
      <c r="U292" s="1"/>
      <c r="V292" s="1"/>
      <c r="W292" s="1"/>
      <c r="X292" s="1"/>
      <c r="Y292" s="1"/>
      <c r="Z292" s="1"/>
      <c r="AA292" s="1"/>
    </row>
    <row r="293" ht="12.75" customHeight="1">
      <c r="A293" s="1"/>
      <c r="B293" s="140"/>
      <c r="C293" s="141"/>
      <c r="D293" s="142"/>
      <c r="E293" s="143"/>
      <c r="F293" s="144"/>
      <c r="G293" s="1"/>
      <c r="H293" s="131" t="str">
        <f t="shared" si="4"/>
        <v/>
      </c>
      <c r="I293" s="132" t="str">
        <f>IF(L293&gt;0,NbEch+Différé+1-H293,"")</f>
        <v/>
      </c>
      <c r="J293" s="145" t="str">
        <f t="shared" si="2"/>
        <v/>
      </c>
      <c r="K293" s="146" t="str">
        <f>IF(L293=0,"",IF(Ijour=0,MIN(DATE(YEAR(DebAmort),MONTH(DebAmort)+(H293-1)*Imois,Jour1),DATE(YEAR(DebAmort),MONTH(DebAmort)+1+(H293-1)*Imois,0)),DATE(YEAR(DebAmort),MONTH(DebAmort),Jour1+(H293-1)*Ijour)))</f>
        <v/>
      </c>
      <c r="L293" s="147">
        <f t="shared" si="5"/>
        <v>0</v>
      </c>
      <c r="M293" s="135">
        <f>IF(H293&lt;=NoEchMaxi,ROUND(L293*R293,NbDeci),0)</f>
        <v>0</v>
      </c>
      <c r="N293" s="134">
        <f>IF(OR(H293&lt;=Différé,H293&gt;NoEchMaxi),IF(DiffTotal,-M293,0),IF(H293&gt;=NoEchRemb,L293,IF(S293-(M293*EchFIXE)&gt;L293-2,L293,S293-(M293*EchFIXE))))+C293</f>
        <v>0</v>
      </c>
      <c r="O293" s="136">
        <f>IF(OR(L293=0,H293&gt;NoEchMaxi),0,ROUND(FraisF+FraisV*L293,NbDeci))+F293</f>
        <v>0</v>
      </c>
      <c r="P293" s="148">
        <f t="shared" si="3"/>
        <v>0</v>
      </c>
      <c r="Q293" s="1"/>
      <c r="R293" s="138">
        <f>IF(B293&gt;0,IF(TauxActuariel,((B293+1)^(1/NbEchAn))-1,B293/NbEchAn),R292)</f>
        <v>0.04</v>
      </c>
      <c r="S293" s="139">
        <f>IF(E293&gt;0,E293,IF(D293&gt;0,IF(AND(EchFIXE,R293&gt;0),ROUND((L293-C293)*R293/(1-((1+R293)^-D293)),NbDeci),ROUND(L293/D293,NbDeci)),S292))</f>
        <v>6664</v>
      </c>
      <c r="T293" s="1"/>
      <c r="U293" s="1"/>
      <c r="V293" s="1"/>
      <c r="W293" s="1"/>
      <c r="X293" s="1"/>
      <c r="Y293" s="1"/>
      <c r="Z293" s="1"/>
      <c r="AA293" s="1"/>
    </row>
    <row r="294" ht="12.75" customHeight="1">
      <c r="A294" s="1"/>
      <c r="B294" s="140"/>
      <c r="C294" s="141"/>
      <c r="D294" s="142"/>
      <c r="E294" s="143"/>
      <c r="F294" s="144"/>
      <c r="G294" s="1"/>
      <c r="H294" s="131" t="str">
        <f t="shared" si="4"/>
        <v/>
      </c>
      <c r="I294" s="132" t="str">
        <f>IF(L294&gt;0,NbEch+Différé+1-H294,"")</f>
        <v/>
      </c>
      <c r="J294" s="145" t="str">
        <f t="shared" si="2"/>
        <v/>
      </c>
      <c r="K294" s="146" t="str">
        <f>IF(L294=0,"",IF(Ijour=0,MIN(DATE(YEAR(DebAmort),MONTH(DebAmort)+MoisD+(H294-1)*Imois,Jour2),DATE(YEAR(DebAmort),MONTH(DebAmort)+MoisD+1+(H294-1)*Imois,0)),DATE(YEAR(DebAmort),MONTH(DebAmort),Jour1+(H294-1)*Ijour)))</f>
        <v/>
      </c>
      <c r="L294" s="147">
        <f t="shared" si="5"/>
        <v>0</v>
      </c>
      <c r="M294" s="135">
        <f>IF(H294&lt;=NoEchMaxi,ROUND(L294*R294,NbDeci),0)</f>
        <v>0</v>
      </c>
      <c r="N294" s="134">
        <f>IF(OR(H294&lt;=Différé,H294&gt;NoEchMaxi),IF(DiffTotal,-M294,0),IF(H294&gt;=NoEchRemb,L294,IF(S294-(M294*EchFIXE)&gt;L294-2,L294,S294-(M294*EchFIXE))))+C294</f>
        <v>0</v>
      </c>
      <c r="O294" s="136">
        <f>IF(OR(L294=0,H294&gt;NoEchMaxi),0,ROUND(FraisF+FraisV*L294,NbDeci))+F294</f>
        <v>0</v>
      </c>
      <c r="P294" s="148">
        <f t="shared" si="3"/>
        <v>0</v>
      </c>
      <c r="Q294" s="1"/>
      <c r="R294" s="138">
        <f>IF(B294&gt;0,IF(TauxActuariel,((B294+1)^(1/NbEchAn))-1,B294/NbEchAn),R293)</f>
        <v>0.04</v>
      </c>
      <c r="S294" s="139">
        <f>IF(E294&gt;0,E294,IF(D294&gt;0,IF(AND(EchFIXE,R294&gt;0),ROUND((L294-C294)*R294/(1-((1+R294)^-D294)),NbDeci),ROUND(L294/D294,NbDeci)),S293))</f>
        <v>6664</v>
      </c>
      <c r="T294" s="1"/>
      <c r="U294" s="1"/>
      <c r="V294" s="1"/>
      <c r="W294" s="1"/>
      <c r="X294" s="1"/>
      <c r="Y294" s="1"/>
      <c r="Z294" s="1"/>
      <c r="AA294" s="1"/>
    </row>
    <row r="295" ht="12.75" customHeight="1">
      <c r="A295" s="1"/>
      <c r="B295" s="140"/>
      <c r="C295" s="141"/>
      <c r="D295" s="142"/>
      <c r="E295" s="143"/>
      <c r="F295" s="144"/>
      <c r="G295" s="1"/>
      <c r="H295" s="131" t="str">
        <f t="shared" si="4"/>
        <v/>
      </c>
      <c r="I295" s="132" t="str">
        <f>IF(L295&gt;0,NbEch+Différé+1-H295,"")</f>
        <v/>
      </c>
      <c r="J295" s="145" t="str">
        <f t="shared" si="2"/>
        <v/>
      </c>
      <c r="K295" s="146" t="str">
        <f>IF(L295=0,"",IF(Ijour=0,MIN(DATE(YEAR(DebAmort),MONTH(DebAmort)+(H295-1)*Imois,Jour1),DATE(YEAR(DebAmort),MONTH(DebAmort)+1+(H295-1)*Imois,0)),DATE(YEAR(DebAmort),MONTH(DebAmort),Jour1+(H295-1)*Ijour)))</f>
        <v/>
      </c>
      <c r="L295" s="147">
        <f t="shared" si="5"/>
        <v>0</v>
      </c>
      <c r="M295" s="135">
        <f>IF(H295&lt;=NoEchMaxi,ROUND(L295*R295,NbDeci),0)</f>
        <v>0</v>
      </c>
      <c r="N295" s="134">
        <f>IF(OR(H295&lt;=Différé,H295&gt;NoEchMaxi),IF(DiffTotal,-M295,0),IF(H295&gt;=NoEchRemb,L295,IF(S295-(M295*EchFIXE)&gt;L295-2,L295,S295-(M295*EchFIXE))))+C295</f>
        <v>0</v>
      </c>
      <c r="O295" s="136">
        <f>IF(OR(L295=0,H295&gt;NoEchMaxi),0,ROUND(FraisF+FraisV*L295,NbDeci))+F295</f>
        <v>0</v>
      </c>
      <c r="P295" s="148">
        <f t="shared" si="3"/>
        <v>0</v>
      </c>
      <c r="Q295" s="1"/>
      <c r="R295" s="138">
        <f>IF(B295&gt;0,IF(TauxActuariel,((B295+1)^(1/NbEchAn))-1,B295/NbEchAn),R294)</f>
        <v>0.04</v>
      </c>
      <c r="S295" s="139">
        <f>IF(E295&gt;0,E295,IF(D295&gt;0,IF(AND(EchFIXE,R295&gt;0),ROUND((L295-C295)*R295/(1-((1+R295)^-D295)),NbDeci),ROUND(L295/D295,NbDeci)),S294))</f>
        <v>6664</v>
      </c>
      <c r="T295" s="1"/>
      <c r="U295" s="1"/>
      <c r="V295" s="1"/>
      <c r="W295" s="1"/>
      <c r="X295" s="1"/>
      <c r="Y295" s="1"/>
      <c r="Z295" s="1"/>
      <c r="AA295" s="1"/>
    </row>
    <row r="296" ht="12.75" customHeight="1">
      <c r="A296" s="1"/>
      <c r="B296" s="140"/>
      <c r="C296" s="141"/>
      <c r="D296" s="142"/>
      <c r="E296" s="143"/>
      <c r="F296" s="144"/>
      <c r="G296" s="1"/>
      <c r="H296" s="131" t="str">
        <f t="shared" si="4"/>
        <v/>
      </c>
      <c r="I296" s="132" t="str">
        <f>IF(L296&gt;0,NbEch+Différé+1-H296,"")</f>
        <v/>
      </c>
      <c r="J296" s="145" t="str">
        <f t="shared" si="2"/>
        <v/>
      </c>
      <c r="K296" s="146" t="str">
        <f>IF(L296=0,"",IF(Ijour=0,MIN(DATE(YEAR(DebAmort),MONTH(DebAmort)+MoisD+(H296-1)*Imois,Jour2),DATE(YEAR(DebAmort),MONTH(DebAmort)+MoisD+1+(H296-1)*Imois,0)),DATE(YEAR(DebAmort),MONTH(DebAmort),Jour1+(H296-1)*Ijour)))</f>
        <v/>
      </c>
      <c r="L296" s="147">
        <f t="shared" si="5"/>
        <v>0</v>
      </c>
      <c r="M296" s="135">
        <f>IF(H296&lt;=NoEchMaxi,ROUND(L296*R296,NbDeci),0)</f>
        <v>0</v>
      </c>
      <c r="N296" s="134">
        <f>IF(OR(H296&lt;=Différé,H296&gt;NoEchMaxi),IF(DiffTotal,-M296,0),IF(H296&gt;=NoEchRemb,L296,IF(S296-(M296*EchFIXE)&gt;L296-2,L296,S296-(M296*EchFIXE))))+C296</f>
        <v>0</v>
      </c>
      <c r="O296" s="136">
        <f>IF(OR(L296=0,H296&gt;NoEchMaxi),0,ROUND(FraisF+FraisV*L296,NbDeci))+F296</f>
        <v>0</v>
      </c>
      <c r="P296" s="148">
        <f t="shared" si="3"/>
        <v>0</v>
      </c>
      <c r="Q296" s="1"/>
      <c r="R296" s="138">
        <f>IF(B296&gt;0,IF(TauxActuariel,((B296+1)^(1/NbEchAn))-1,B296/NbEchAn),R295)</f>
        <v>0.04</v>
      </c>
      <c r="S296" s="139">
        <f>IF(E296&gt;0,E296,IF(D296&gt;0,IF(AND(EchFIXE,R296&gt;0),ROUND((L296-C296)*R296/(1-((1+R296)^-D296)),NbDeci),ROUND(L296/D296,NbDeci)),S295))</f>
        <v>6664</v>
      </c>
      <c r="T296" s="1"/>
      <c r="U296" s="1"/>
      <c r="V296" s="1"/>
      <c r="W296" s="1"/>
      <c r="X296" s="1"/>
      <c r="Y296" s="1"/>
      <c r="Z296" s="1"/>
      <c r="AA296" s="1"/>
    </row>
    <row r="297" ht="12.75" customHeight="1">
      <c r="A297" s="1"/>
      <c r="B297" s="140"/>
      <c r="C297" s="141"/>
      <c r="D297" s="142"/>
      <c r="E297" s="143"/>
      <c r="F297" s="144"/>
      <c r="G297" s="1"/>
      <c r="H297" s="131" t="str">
        <f t="shared" si="4"/>
        <v/>
      </c>
      <c r="I297" s="132" t="str">
        <f>IF(L297&gt;0,NbEch+Différé+1-H297,"")</f>
        <v/>
      </c>
      <c r="J297" s="145" t="str">
        <f t="shared" si="2"/>
        <v/>
      </c>
      <c r="K297" s="146" t="str">
        <f>IF(L297=0,"",IF(Ijour=0,MIN(DATE(YEAR(DebAmort),MONTH(DebAmort)+(H297-1)*Imois,Jour1),DATE(YEAR(DebAmort),MONTH(DebAmort)+1+(H297-1)*Imois,0)),DATE(YEAR(DebAmort),MONTH(DebAmort),Jour1+(H297-1)*Ijour)))</f>
        <v/>
      </c>
      <c r="L297" s="147">
        <f t="shared" si="5"/>
        <v>0</v>
      </c>
      <c r="M297" s="135">
        <f>IF(H297&lt;=NoEchMaxi,ROUND(L297*R297,NbDeci),0)</f>
        <v>0</v>
      </c>
      <c r="N297" s="134">
        <f>IF(OR(H297&lt;=Différé,H297&gt;NoEchMaxi),IF(DiffTotal,-M297,0),IF(H297&gt;=NoEchRemb,L297,IF(S297-(M297*EchFIXE)&gt;L297-2,L297,S297-(M297*EchFIXE))))+C297</f>
        <v>0</v>
      </c>
      <c r="O297" s="136">
        <f>IF(OR(L297=0,H297&gt;NoEchMaxi),0,ROUND(FraisF+FraisV*L297,NbDeci))+F297</f>
        <v>0</v>
      </c>
      <c r="P297" s="148">
        <f t="shared" si="3"/>
        <v>0</v>
      </c>
      <c r="Q297" s="1"/>
      <c r="R297" s="138">
        <f>IF(B297&gt;0,IF(TauxActuariel,((B297+1)^(1/NbEchAn))-1,B297/NbEchAn),R296)</f>
        <v>0.04</v>
      </c>
      <c r="S297" s="139">
        <f>IF(E297&gt;0,E297,IF(D297&gt;0,IF(AND(EchFIXE,R297&gt;0),ROUND((L297-C297)*R297/(1-((1+R297)^-D297)),NbDeci),ROUND(L297/D297,NbDeci)),S296))</f>
        <v>6664</v>
      </c>
      <c r="T297" s="1"/>
      <c r="U297" s="1"/>
      <c r="V297" s="1"/>
      <c r="W297" s="1"/>
      <c r="X297" s="1"/>
      <c r="Y297" s="1"/>
      <c r="Z297" s="1"/>
      <c r="AA297" s="1"/>
    </row>
    <row r="298" ht="12.75" customHeight="1">
      <c r="A298" s="1"/>
      <c r="B298" s="140"/>
      <c r="C298" s="141"/>
      <c r="D298" s="142"/>
      <c r="E298" s="143"/>
      <c r="F298" s="144"/>
      <c r="G298" s="1"/>
      <c r="H298" s="131" t="str">
        <f t="shared" si="4"/>
        <v/>
      </c>
      <c r="I298" s="132" t="str">
        <f>IF(L298&gt;0,NbEch+Différé+1-H298,"")</f>
        <v/>
      </c>
      <c r="J298" s="145" t="str">
        <f t="shared" si="2"/>
        <v/>
      </c>
      <c r="K298" s="146" t="str">
        <f>IF(L298=0,"",IF(Ijour=0,MIN(DATE(YEAR(DebAmort),MONTH(DebAmort)+MoisD+(H298-1)*Imois,Jour2),DATE(YEAR(DebAmort),MONTH(DebAmort)+MoisD+1+(H298-1)*Imois,0)),DATE(YEAR(DebAmort),MONTH(DebAmort),Jour1+(H298-1)*Ijour)))</f>
        <v/>
      </c>
      <c r="L298" s="147">
        <f t="shared" si="5"/>
        <v>0</v>
      </c>
      <c r="M298" s="135">
        <f>IF(H298&lt;=NoEchMaxi,ROUND(L298*R298,NbDeci),0)</f>
        <v>0</v>
      </c>
      <c r="N298" s="134">
        <f>IF(OR(H298&lt;=Différé,H298&gt;NoEchMaxi),IF(DiffTotal,-M298,0),IF(H298&gt;=NoEchRemb,L298,IF(S298-(M298*EchFIXE)&gt;L298-2,L298,S298-(M298*EchFIXE))))+C298</f>
        <v>0</v>
      </c>
      <c r="O298" s="136">
        <f>IF(OR(L298=0,H298&gt;NoEchMaxi),0,ROUND(FraisF+FraisV*L298,NbDeci))+F298</f>
        <v>0</v>
      </c>
      <c r="P298" s="148">
        <f t="shared" si="3"/>
        <v>0</v>
      </c>
      <c r="Q298" s="1"/>
      <c r="R298" s="138">
        <f>IF(B298&gt;0,IF(TauxActuariel,((B298+1)^(1/NbEchAn))-1,B298/NbEchAn),R297)</f>
        <v>0.04</v>
      </c>
      <c r="S298" s="139">
        <f>IF(E298&gt;0,E298,IF(D298&gt;0,IF(AND(EchFIXE,R298&gt;0),ROUND((L298-C298)*R298/(1-((1+R298)^-D298)),NbDeci),ROUND(L298/D298,NbDeci)),S297))</f>
        <v>6664</v>
      </c>
      <c r="T298" s="1"/>
      <c r="U298" s="1"/>
      <c r="V298" s="1"/>
      <c r="W298" s="1"/>
      <c r="X298" s="1"/>
      <c r="Y298" s="1"/>
      <c r="Z298" s="1"/>
      <c r="AA298" s="1"/>
    </row>
    <row r="299" ht="12.75" customHeight="1">
      <c r="A299" s="1"/>
      <c r="B299" s="140"/>
      <c r="C299" s="141"/>
      <c r="D299" s="142"/>
      <c r="E299" s="143"/>
      <c r="F299" s="144"/>
      <c r="G299" s="1"/>
      <c r="H299" s="131" t="str">
        <f t="shared" si="4"/>
        <v/>
      </c>
      <c r="I299" s="132" t="str">
        <f>IF(L299&gt;0,NbEch+Différé+1-H299,"")</f>
        <v/>
      </c>
      <c r="J299" s="145" t="str">
        <f t="shared" si="2"/>
        <v/>
      </c>
      <c r="K299" s="146" t="str">
        <f>IF(L299=0,"",IF(Ijour=0,MIN(DATE(YEAR(DebAmort),MONTH(DebAmort)+(H299-1)*Imois,Jour1),DATE(YEAR(DebAmort),MONTH(DebAmort)+1+(H299-1)*Imois,0)),DATE(YEAR(DebAmort),MONTH(DebAmort),Jour1+(H299-1)*Ijour)))</f>
        <v/>
      </c>
      <c r="L299" s="147">
        <f t="shared" si="5"/>
        <v>0</v>
      </c>
      <c r="M299" s="135">
        <f>IF(H299&lt;=NoEchMaxi,ROUND(L299*R299,NbDeci),0)</f>
        <v>0</v>
      </c>
      <c r="N299" s="134">
        <f>IF(OR(H299&lt;=Différé,H299&gt;NoEchMaxi),IF(DiffTotal,-M299,0),IF(H299&gt;=NoEchRemb,L299,IF(S299-(M299*EchFIXE)&gt;L299-2,L299,S299-(M299*EchFIXE))))+C299</f>
        <v>0</v>
      </c>
      <c r="O299" s="136">
        <f>IF(OR(L299=0,H299&gt;NoEchMaxi),0,ROUND(FraisF+FraisV*L299,NbDeci))+F299</f>
        <v>0</v>
      </c>
      <c r="P299" s="148">
        <f t="shared" si="3"/>
        <v>0</v>
      </c>
      <c r="Q299" s="1"/>
      <c r="R299" s="138">
        <f>IF(B299&gt;0,IF(TauxActuariel,((B299+1)^(1/NbEchAn))-1,B299/NbEchAn),R298)</f>
        <v>0.04</v>
      </c>
      <c r="S299" s="139">
        <f>IF(E299&gt;0,E299,IF(D299&gt;0,IF(AND(EchFIXE,R299&gt;0),ROUND((L299-C299)*R299/(1-((1+R299)^-D299)),NbDeci),ROUND(L299/D299,NbDeci)),S298))</f>
        <v>6664</v>
      </c>
      <c r="T299" s="1"/>
      <c r="U299" s="1"/>
      <c r="V299" s="1"/>
      <c r="W299" s="1"/>
      <c r="X299" s="1"/>
      <c r="Y299" s="1"/>
      <c r="Z299" s="1"/>
      <c r="AA299" s="1"/>
    </row>
    <row r="300" ht="12.75" customHeight="1">
      <c r="A300" s="1"/>
      <c r="B300" s="140"/>
      <c r="C300" s="141"/>
      <c r="D300" s="142"/>
      <c r="E300" s="143"/>
      <c r="F300" s="144"/>
      <c r="G300" s="1"/>
      <c r="H300" s="131" t="str">
        <f t="shared" si="4"/>
        <v/>
      </c>
      <c r="I300" s="132" t="str">
        <f>IF(L300&gt;0,NbEch+Différé+1-H300,"")</f>
        <v/>
      </c>
      <c r="J300" s="145" t="str">
        <f t="shared" si="2"/>
        <v/>
      </c>
      <c r="K300" s="146" t="str">
        <f>IF(L300=0,"",IF(Ijour=0,MIN(DATE(YEAR(DebAmort),MONTH(DebAmort)+MoisD+(H300-1)*Imois,Jour2),DATE(YEAR(DebAmort),MONTH(DebAmort)+MoisD+1+(H300-1)*Imois,0)),DATE(YEAR(DebAmort),MONTH(DebAmort),Jour1+(H300-1)*Ijour)))</f>
        <v/>
      </c>
      <c r="L300" s="147">
        <f t="shared" si="5"/>
        <v>0</v>
      </c>
      <c r="M300" s="135">
        <f>IF(H300&lt;=NoEchMaxi,ROUND(L300*R300,NbDeci),0)</f>
        <v>0</v>
      </c>
      <c r="N300" s="134">
        <f>IF(OR(H300&lt;=Différé,H300&gt;NoEchMaxi),IF(DiffTotal,-M300,0),IF(H300&gt;=NoEchRemb,L300,IF(S300-(M300*EchFIXE)&gt;L300-2,L300,S300-(M300*EchFIXE))))+C300</f>
        <v>0</v>
      </c>
      <c r="O300" s="136">
        <f>IF(OR(L300=0,H300&gt;NoEchMaxi),0,ROUND(FraisF+FraisV*L300,NbDeci))+F300</f>
        <v>0</v>
      </c>
      <c r="P300" s="148">
        <f t="shared" si="3"/>
        <v>0</v>
      </c>
      <c r="Q300" s="1"/>
      <c r="R300" s="138">
        <f>IF(B300&gt;0,IF(TauxActuariel,((B300+1)^(1/NbEchAn))-1,B300/NbEchAn),R299)</f>
        <v>0.04</v>
      </c>
      <c r="S300" s="139">
        <f>IF(E300&gt;0,E300,IF(D300&gt;0,IF(AND(EchFIXE,R300&gt;0),ROUND((L300-C300)*R300/(1-((1+R300)^-D300)),NbDeci),ROUND(L300/D300,NbDeci)),S299))</f>
        <v>6664</v>
      </c>
      <c r="T300" s="1"/>
      <c r="U300" s="1"/>
      <c r="V300" s="1"/>
      <c r="W300" s="1"/>
      <c r="X300" s="1"/>
      <c r="Y300" s="1"/>
      <c r="Z300" s="1"/>
      <c r="AA300" s="1"/>
    </row>
    <row r="301" ht="12.75" customHeight="1">
      <c r="A301" s="1"/>
      <c r="B301" s="140"/>
      <c r="C301" s="141"/>
      <c r="D301" s="142"/>
      <c r="E301" s="143"/>
      <c r="F301" s="144"/>
      <c r="G301" s="1"/>
      <c r="H301" s="131" t="str">
        <f t="shared" si="4"/>
        <v/>
      </c>
      <c r="I301" s="132" t="str">
        <f>IF(L301&gt;0,NbEch+Différé+1-H301,"")</f>
        <v/>
      </c>
      <c r="J301" s="145" t="str">
        <f t="shared" si="2"/>
        <v/>
      </c>
      <c r="K301" s="146" t="str">
        <f>IF(L301=0,"",IF(Ijour=0,MIN(DATE(YEAR(DebAmort),MONTH(DebAmort)+(H301-1)*Imois,Jour1),DATE(YEAR(DebAmort),MONTH(DebAmort)+1+(H301-1)*Imois,0)),DATE(YEAR(DebAmort),MONTH(DebAmort),Jour1+(H301-1)*Ijour)))</f>
        <v/>
      </c>
      <c r="L301" s="147">
        <f t="shared" si="5"/>
        <v>0</v>
      </c>
      <c r="M301" s="135">
        <f>IF(H301&lt;=NoEchMaxi,ROUND(L301*R301,NbDeci),0)</f>
        <v>0</v>
      </c>
      <c r="N301" s="134">
        <f>IF(OR(H301&lt;=Différé,H301&gt;NoEchMaxi),IF(DiffTotal,-M301,0),IF(H301&gt;=NoEchRemb,L301,IF(S301-(M301*EchFIXE)&gt;L301-2,L301,S301-(M301*EchFIXE))))+C301</f>
        <v>0</v>
      </c>
      <c r="O301" s="136">
        <f>IF(OR(L301=0,H301&gt;NoEchMaxi),0,ROUND(FraisF+FraisV*L301,NbDeci))+F301</f>
        <v>0</v>
      </c>
      <c r="P301" s="148">
        <f t="shared" si="3"/>
        <v>0</v>
      </c>
      <c r="Q301" s="1"/>
      <c r="R301" s="138">
        <f>IF(B301&gt;0,IF(TauxActuariel,((B301+1)^(1/NbEchAn))-1,B301/NbEchAn),R300)</f>
        <v>0.04</v>
      </c>
      <c r="S301" s="139">
        <f>IF(E301&gt;0,E301,IF(D301&gt;0,IF(AND(EchFIXE,R301&gt;0),ROUND((L301-C301)*R301/(1-((1+R301)^-D301)),NbDeci),ROUND(L301/D301,NbDeci)),S300))</f>
        <v>6664</v>
      </c>
      <c r="T301" s="1"/>
      <c r="U301" s="1"/>
      <c r="V301" s="1"/>
      <c r="W301" s="1"/>
      <c r="X301" s="1"/>
      <c r="Y301" s="1"/>
      <c r="Z301" s="1"/>
      <c r="AA301" s="1"/>
    </row>
    <row r="302" ht="12.75" customHeight="1">
      <c r="A302" s="1"/>
      <c r="B302" s="140"/>
      <c r="C302" s="141"/>
      <c r="D302" s="142"/>
      <c r="E302" s="143"/>
      <c r="F302" s="144"/>
      <c r="G302" s="1"/>
      <c r="H302" s="131" t="str">
        <f t="shared" si="4"/>
        <v/>
      </c>
      <c r="I302" s="132" t="str">
        <f>IF(L302&gt;0,NbEch+Différé+1-H302,"")</f>
        <v/>
      </c>
      <c r="J302" s="145" t="str">
        <f t="shared" si="2"/>
        <v/>
      </c>
      <c r="K302" s="146" t="str">
        <f>IF(L302=0,"",IF(Ijour=0,MIN(DATE(YEAR(DebAmort),MONTH(DebAmort)+MoisD+(H302-1)*Imois,Jour2),DATE(YEAR(DebAmort),MONTH(DebAmort)+MoisD+1+(H302-1)*Imois,0)),DATE(YEAR(DebAmort),MONTH(DebAmort),Jour1+(H302-1)*Ijour)))</f>
        <v/>
      </c>
      <c r="L302" s="147">
        <f t="shared" si="5"/>
        <v>0</v>
      </c>
      <c r="M302" s="135">
        <f>IF(H302&lt;=NoEchMaxi,ROUND(L302*R302,NbDeci),0)</f>
        <v>0</v>
      </c>
      <c r="N302" s="134">
        <f>IF(OR(H302&lt;=Différé,H302&gt;NoEchMaxi),IF(DiffTotal,-M302,0),IF(H302&gt;=NoEchRemb,L302,IF(S302-(M302*EchFIXE)&gt;L302-2,L302,S302-(M302*EchFIXE))))+C302</f>
        <v>0</v>
      </c>
      <c r="O302" s="136">
        <f>IF(OR(L302=0,H302&gt;NoEchMaxi),0,ROUND(FraisF+FraisV*L302,NbDeci))+F302</f>
        <v>0</v>
      </c>
      <c r="P302" s="148">
        <f t="shared" si="3"/>
        <v>0</v>
      </c>
      <c r="Q302" s="1"/>
      <c r="R302" s="138">
        <f>IF(B302&gt;0,IF(TauxActuariel,((B302+1)^(1/NbEchAn))-1,B302/NbEchAn),R301)</f>
        <v>0.04</v>
      </c>
      <c r="S302" s="139">
        <f>IF(E302&gt;0,E302,IF(D302&gt;0,IF(AND(EchFIXE,R302&gt;0),ROUND((L302-C302)*R302/(1-((1+R302)^-D302)),NbDeci),ROUND(L302/D302,NbDeci)),S301))</f>
        <v>6664</v>
      </c>
      <c r="T302" s="1"/>
      <c r="U302" s="1"/>
      <c r="V302" s="1"/>
      <c r="W302" s="1"/>
      <c r="X302" s="1"/>
      <c r="Y302" s="1"/>
      <c r="Z302" s="1"/>
      <c r="AA302" s="1"/>
    </row>
    <row r="303" ht="12.75" customHeight="1">
      <c r="A303" s="1"/>
      <c r="B303" s="140"/>
      <c r="C303" s="141"/>
      <c r="D303" s="142"/>
      <c r="E303" s="143"/>
      <c r="F303" s="144"/>
      <c r="G303" s="1"/>
      <c r="H303" s="131" t="str">
        <f t="shared" si="4"/>
        <v/>
      </c>
      <c r="I303" s="132" t="str">
        <f>IF(L303&gt;0,NbEch+Différé+1-H303,"")</f>
        <v/>
      </c>
      <c r="J303" s="145" t="str">
        <f t="shared" si="2"/>
        <v/>
      </c>
      <c r="K303" s="146" t="str">
        <f>IF(L303=0,"",IF(Ijour=0,MIN(DATE(YEAR(DebAmort),MONTH(DebAmort)+(H303-1)*Imois,Jour1),DATE(YEAR(DebAmort),MONTH(DebAmort)+1+(H303-1)*Imois,0)),DATE(YEAR(DebAmort),MONTH(DebAmort),Jour1+(H303-1)*Ijour)))</f>
        <v/>
      </c>
      <c r="L303" s="147">
        <f t="shared" si="5"/>
        <v>0</v>
      </c>
      <c r="M303" s="135">
        <f>IF(H303&lt;=NoEchMaxi,ROUND(L303*R303,NbDeci),0)</f>
        <v>0</v>
      </c>
      <c r="N303" s="134">
        <f>IF(OR(H303&lt;=Différé,H303&gt;NoEchMaxi),IF(DiffTotal,-M303,0),IF(H303&gt;=NoEchRemb,L303,IF(S303-(M303*EchFIXE)&gt;L303-2,L303,S303-(M303*EchFIXE))))+C303</f>
        <v>0</v>
      </c>
      <c r="O303" s="136">
        <f>IF(OR(L303=0,H303&gt;NoEchMaxi),0,ROUND(FraisF+FraisV*L303,NbDeci))+F303</f>
        <v>0</v>
      </c>
      <c r="P303" s="148">
        <f t="shared" si="3"/>
        <v>0</v>
      </c>
      <c r="Q303" s="1"/>
      <c r="R303" s="138">
        <f>IF(B303&gt;0,IF(TauxActuariel,((B303+1)^(1/NbEchAn))-1,B303/NbEchAn),R302)</f>
        <v>0.04</v>
      </c>
      <c r="S303" s="139">
        <f>IF(E303&gt;0,E303,IF(D303&gt;0,IF(AND(EchFIXE,R303&gt;0),ROUND((L303-C303)*R303/(1-((1+R303)^-D303)),NbDeci),ROUND(L303/D303,NbDeci)),S302))</f>
        <v>6664</v>
      </c>
      <c r="T303" s="1"/>
      <c r="U303" s="1"/>
      <c r="V303" s="1"/>
      <c r="W303" s="1"/>
      <c r="X303" s="1"/>
      <c r="Y303" s="1"/>
      <c r="Z303" s="1"/>
      <c r="AA303" s="1"/>
    </row>
    <row r="304" ht="12.75" customHeight="1">
      <c r="A304" s="1"/>
      <c r="B304" s="140"/>
      <c r="C304" s="141"/>
      <c r="D304" s="142"/>
      <c r="E304" s="143"/>
      <c r="F304" s="144"/>
      <c r="G304" s="1"/>
      <c r="H304" s="131" t="str">
        <f t="shared" si="4"/>
        <v/>
      </c>
      <c r="I304" s="132" t="str">
        <f>IF(L304&gt;0,NbEch+Différé+1-H304,"")</f>
        <v/>
      </c>
      <c r="J304" s="145" t="str">
        <f t="shared" si="2"/>
        <v/>
      </c>
      <c r="K304" s="146" t="str">
        <f>IF(L304=0,"",IF(Ijour=0,MIN(DATE(YEAR(DebAmort),MONTH(DebAmort)+MoisD+(H304-1)*Imois,Jour2),DATE(YEAR(DebAmort),MONTH(DebAmort)+MoisD+1+(H304-1)*Imois,0)),DATE(YEAR(DebAmort),MONTH(DebAmort),Jour1+(H304-1)*Ijour)))</f>
        <v/>
      </c>
      <c r="L304" s="147">
        <f t="shared" si="5"/>
        <v>0</v>
      </c>
      <c r="M304" s="135">
        <f>IF(H304&lt;=NoEchMaxi,ROUND(L304*R304,NbDeci),0)</f>
        <v>0</v>
      </c>
      <c r="N304" s="134">
        <f>IF(OR(H304&lt;=Différé,H304&gt;NoEchMaxi),IF(DiffTotal,-M304,0),IF(H304&gt;=NoEchRemb,L304,IF(S304-(M304*EchFIXE)&gt;L304-2,L304,S304-(M304*EchFIXE))))+C304</f>
        <v>0</v>
      </c>
      <c r="O304" s="136">
        <f>IF(OR(L304=0,H304&gt;NoEchMaxi),0,ROUND(FraisF+FraisV*L304,NbDeci))+F304</f>
        <v>0</v>
      </c>
      <c r="P304" s="148">
        <f t="shared" si="3"/>
        <v>0</v>
      </c>
      <c r="Q304" s="1"/>
      <c r="R304" s="138">
        <f>IF(B304&gt;0,IF(TauxActuariel,((B304+1)^(1/NbEchAn))-1,B304/NbEchAn),R303)</f>
        <v>0.04</v>
      </c>
      <c r="S304" s="139">
        <f>IF(E304&gt;0,E304,IF(D304&gt;0,IF(AND(EchFIXE,R304&gt;0),ROUND((L304-C304)*R304/(1-((1+R304)^-D304)),NbDeci),ROUND(L304/D304,NbDeci)),S303))</f>
        <v>6664</v>
      </c>
      <c r="T304" s="1"/>
      <c r="U304" s="1"/>
      <c r="V304" s="1"/>
      <c r="W304" s="1"/>
      <c r="X304" s="1"/>
      <c r="Y304" s="1"/>
      <c r="Z304" s="1"/>
      <c r="AA304" s="1"/>
    </row>
    <row r="305" ht="12.75" customHeight="1">
      <c r="A305" s="1"/>
      <c r="B305" s="140"/>
      <c r="C305" s="141"/>
      <c r="D305" s="142"/>
      <c r="E305" s="143"/>
      <c r="F305" s="144"/>
      <c r="G305" s="1"/>
      <c r="H305" s="131" t="str">
        <f t="shared" si="4"/>
        <v/>
      </c>
      <c r="I305" s="132" t="str">
        <f>IF(L305&gt;0,NbEch+Différé+1-H305,"")</f>
        <v/>
      </c>
      <c r="J305" s="145" t="str">
        <f t="shared" si="2"/>
        <v/>
      </c>
      <c r="K305" s="146" t="str">
        <f>IF(L305=0,"",IF(Ijour=0,MIN(DATE(YEAR(DebAmort),MONTH(DebAmort)+(H305-1)*Imois,Jour1),DATE(YEAR(DebAmort),MONTH(DebAmort)+1+(H305-1)*Imois,0)),DATE(YEAR(DebAmort),MONTH(DebAmort),Jour1+(H305-1)*Ijour)))</f>
        <v/>
      </c>
      <c r="L305" s="147">
        <f t="shared" si="5"/>
        <v>0</v>
      </c>
      <c r="M305" s="135">
        <f>IF(H305&lt;=NoEchMaxi,ROUND(L305*R305,NbDeci),0)</f>
        <v>0</v>
      </c>
      <c r="N305" s="134">
        <f>IF(OR(H305&lt;=Différé,H305&gt;NoEchMaxi),IF(DiffTotal,-M305,0),IF(H305&gt;=NoEchRemb,L305,IF(S305-(M305*EchFIXE)&gt;L305-2,L305,S305-(M305*EchFIXE))))+C305</f>
        <v>0</v>
      </c>
      <c r="O305" s="136">
        <f>IF(OR(L305=0,H305&gt;NoEchMaxi),0,ROUND(FraisF+FraisV*L305,NbDeci))+F305</f>
        <v>0</v>
      </c>
      <c r="P305" s="148">
        <f t="shared" si="3"/>
        <v>0</v>
      </c>
      <c r="Q305" s="1"/>
      <c r="R305" s="138">
        <f>IF(B305&gt;0,IF(TauxActuariel,((B305+1)^(1/NbEchAn))-1,B305/NbEchAn),R304)</f>
        <v>0.04</v>
      </c>
      <c r="S305" s="139">
        <f>IF(E305&gt;0,E305,IF(D305&gt;0,IF(AND(EchFIXE,R305&gt;0),ROUND((L305-C305)*R305/(1-((1+R305)^-D305)),NbDeci),ROUND(L305/D305,NbDeci)),S304))</f>
        <v>6664</v>
      </c>
      <c r="T305" s="1"/>
      <c r="U305" s="1"/>
      <c r="V305" s="1"/>
      <c r="W305" s="1"/>
      <c r="X305" s="1"/>
      <c r="Y305" s="1"/>
      <c r="Z305" s="1"/>
      <c r="AA305" s="1"/>
    </row>
    <row r="306" ht="12.75" customHeight="1">
      <c r="A306" s="1"/>
      <c r="B306" s="140"/>
      <c r="C306" s="141"/>
      <c r="D306" s="142"/>
      <c r="E306" s="143"/>
      <c r="F306" s="144"/>
      <c r="G306" s="1"/>
      <c r="H306" s="131" t="str">
        <f t="shared" si="4"/>
        <v/>
      </c>
      <c r="I306" s="132" t="str">
        <f>IF(L306&gt;0,NbEch+Différé+1-H306,"")</f>
        <v/>
      </c>
      <c r="J306" s="145" t="str">
        <f t="shared" si="2"/>
        <v/>
      </c>
      <c r="K306" s="146" t="str">
        <f>IF(L306=0,"",IF(Ijour=0,MIN(DATE(YEAR(DebAmort),MONTH(DebAmort)+MoisD+(H306-1)*Imois,Jour2),DATE(YEAR(DebAmort),MONTH(DebAmort)+MoisD+1+(H306-1)*Imois,0)),DATE(YEAR(DebAmort),MONTH(DebAmort),Jour1+(H306-1)*Ijour)))</f>
        <v/>
      </c>
      <c r="L306" s="147">
        <f t="shared" si="5"/>
        <v>0</v>
      </c>
      <c r="M306" s="135">
        <f>IF(H306&lt;=NoEchMaxi,ROUND(L306*R306,NbDeci),0)</f>
        <v>0</v>
      </c>
      <c r="N306" s="134">
        <f>IF(OR(H306&lt;=Différé,H306&gt;NoEchMaxi),IF(DiffTotal,-M306,0),IF(H306&gt;=NoEchRemb,L306,IF(S306-(M306*EchFIXE)&gt;L306-2,L306,S306-(M306*EchFIXE))))+C306</f>
        <v>0</v>
      </c>
      <c r="O306" s="136">
        <f>IF(OR(L306=0,H306&gt;NoEchMaxi),0,ROUND(FraisF+FraisV*L306,NbDeci))+F306</f>
        <v>0</v>
      </c>
      <c r="P306" s="148">
        <f t="shared" si="3"/>
        <v>0</v>
      </c>
      <c r="Q306" s="1"/>
      <c r="R306" s="138">
        <f>IF(B306&gt;0,IF(TauxActuariel,((B306+1)^(1/NbEchAn))-1,B306/NbEchAn),R305)</f>
        <v>0.04</v>
      </c>
      <c r="S306" s="139">
        <f>IF(E306&gt;0,E306,IF(D306&gt;0,IF(AND(EchFIXE,R306&gt;0),ROUND((L306-C306)*R306/(1-((1+R306)^-D306)),NbDeci),ROUND(L306/D306,NbDeci)),S305))</f>
        <v>6664</v>
      </c>
      <c r="T306" s="1"/>
      <c r="U306" s="1"/>
      <c r="V306" s="1"/>
      <c r="W306" s="1"/>
      <c r="X306" s="1"/>
      <c r="Y306" s="1"/>
      <c r="Z306" s="1"/>
      <c r="AA306" s="1"/>
    </row>
    <row r="307" ht="12.75" customHeight="1">
      <c r="A307" s="1"/>
      <c r="B307" s="140"/>
      <c r="C307" s="141"/>
      <c r="D307" s="142"/>
      <c r="E307" s="143"/>
      <c r="F307" s="144"/>
      <c r="G307" s="1"/>
      <c r="H307" s="131" t="str">
        <f t="shared" si="4"/>
        <v/>
      </c>
      <c r="I307" s="132" t="str">
        <f>IF(L307&gt;0,NbEch+Différé+1-H307,"")</f>
        <v/>
      </c>
      <c r="J307" s="145" t="str">
        <f t="shared" si="2"/>
        <v/>
      </c>
      <c r="K307" s="146" t="str">
        <f>IF(L307=0,"",IF(Ijour=0,MIN(DATE(YEAR(DebAmort),MONTH(DebAmort)+(H307-1)*Imois,Jour1),DATE(YEAR(DebAmort),MONTH(DebAmort)+1+(H307-1)*Imois,0)),DATE(YEAR(DebAmort),MONTH(DebAmort),Jour1+(H307-1)*Ijour)))</f>
        <v/>
      </c>
      <c r="L307" s="147">
        <f t="shared" si="5"/>
        <v>0</v>
      </c>
      <c r="M307" s="135">
        <f>IF(H307&lt;=NoEchMaxi,ROUND(L307*R307,NbDeci),0)</f>
        <v>0</v>
      </c>
      <c r="N307" s="134">
        <f>IF(OR(H307&lt;=Différé,H307&gt;NoEchMaxi),IF(DiffTotal,-M307,0),IF(H307&gt;=NoEchRemb,L307,IF(S307-(M307*EchFIXE)&gt;L307-2,L307,S307-(M307*EchFIXE))))+C307</f>
        <v>0</v>
      </c>
      <c r="O307" s="136">
        <f>IF(OR(L307=0,H307&gt;NoEchMaxi),0,ROUND(FraisF+FraisV*L307,NbDeci))+F307</f>
        <v>0</v>
      </c>
      <c r="P307" s="148">
        <f t="shared" si="3"/>
        <v>0</v>
      </c>
      <c r="Q307" s="1"/>
      <c r="R307" s="138">
        <f>IF(B307&gt;0,IF(TauxActuariel,((B307+1)^(1/NbEchAn))-1,B307/NbEchAn),R306)</f>
        <v>0.04</v>
      </c>
      <c r="S307" s="139">
        <f>IF(E307&gt;0,E307,IF(D307&gt;0,IF(AND(EchFIXE,R307&gt;0),ROUND((L307-C307)*R307/(1-((1+R307)^-D307)),NbDeci),ROUND(L307/D307,NbDeci)),S306))</f>
        <v>6664</v>
      </c>
      <c r="T307" s="1"/>
      <c r="U307" s="1"/>
      <c r="V307" s="1"/>
      <c r="W307" s="1"/>
      <c r="X307" s="1"/>
      <c r="Y307" s="1"/>
      <c r="Z307" s="1"/>
      <c r="AA307" s="1"/>
    </row>
    <row r="308" ht="12.75" customHeight="1">
      <c r="A308" s="1"/>
      <c r="B308" s="140"/>
      <c r="C308" s="141"/>
      <c r="D308" s="142"/>
      <c r="E308" s="143"/>
      <c r="F308" s="144"/>
      <c r="G308" s="1"/>
      <c r="H308" s="131" t="str">
        <f t="shared" si="4"/>
        <v/>
      </c>
      <c r="I308" s="132" t="str">
        <f>IF(L308&gt;0,NbEch+Différé+1-H308,"")</f>
        <v/>
      </c>
      <c r="J308" s="145" t="str">
        <f t="shared" si="2"/>
        <v/>
      </c>
      <c r="K308" s="146" t="str">
        <f>IF(L308=0,"",IF(Ijour=0,MIN(DATE(YEAR(DebAmort),MONTH(DebAmort)+MoisD+(H308-1)*Imois,Jour2),DATE(YEAR(DebAmort),MONTH(DebAmort)+MoisD+1+(H308-1)*Imois,0)),DATE(YEAR(DebAmort),MONTH(DebAmort),Jour1+(H308-1)*Ijour)))</f>
        <v/>
      </c>
      <c r="L308" s="147">
        <f t="shared" si="5"/>
        <v>0</v>
      </c>
      <c r="M308" s="135">
        <f>IF(H308&lt;=NoEchMaxi,ROUND(L308*R308,NbDeci),0)</f>
        <v>0</v>
      </c>
      <c r="N308" s="134">
        <f>IF(OR(H308&lt;=Différé,H308&gt;NoEchMaxi),IF(DiffTotal,-M308,0),IF(H308&gt;=NoEchRemb,L308,IF(S308-(M308*EchFIXE)&gt;L308-2,L308,S308-(M308*EchFIXE))))+C308</f>
        <v>0</v>
      </c>
      <c r="O308" s="136">
        <f>IF(OR(L308=0,H308&gt;NoEchMaxi),0,ROUND(FraisF+FraisV*L308,NbDeci))+F308</f>
        <v>0</v>
      </c>
      <c r="P308" s="148">
        <f t="shared" si="3"/>
        <v>0</v>
      </c>
      <c r="Q308" s="1"/>
      <c r="R308" s="138">
        <f>IF(B308&gt;0,IF(TauxActuariel,((B308+1)^(1/NbEchAn))-1,B308/NbEchAn),R307)</f>
        <v>0.04</v>
      </c>
      <c r="S308" s="139">
        <f>IF(E308&gt;0,E308,IF(D308&gt;0,IF(AND(EchFIXE,R308&gt;0),ROUND((L308-C308)*R308/(1-((1+R308)^-D308)),NbDeci),ROUND(L308/D308,NbDeci)),S307))</f>
        <v>6664</v>
      </c>
      <c r="T308" s="1"/>
      <c r="U308" s="1"/>
      <c r="V308" s="1"/>
      <c r="W308" s="1"/>
      <c r="X308" s="1"/>
      <c r="Y308" s="1"/>
      <c r="Z308" s="1"/>
      <c r="AA308" s="1"/>
    </row>
    <row r="309" ht="12.75" customHeight="1">
      <c r="A309" s="1"/>
      <c r="B309" s="140"/>
      <c r="C309" s="141"/>
      <c r="D309" s="142"/>
      <c r="E309" s="143"/>
      <c r="F309" s="144"/>
      <c r="G309" s="1"/>
      <c r="H309" s="131" t="str">
        <f t="shared" si="4"/>
        <v/>
      </c>
      <c r="I309" s="132" t="str">
        <f>IF(L309&gt;0,NbEch+Différé+1-H309,"")</f>
        <v/>
      </c>
      <c r="J309" s="145" t="str">
        <f t="shared" si="2"/>
        <v/>
      </c>
      <c r="K309" s="146" t="str">
        <f>IF(L309=0,"",IF(Ijour=0,MIN(DATE(YEAR(DebAmort),MONTH(DebAmort)+(H309-1)*Imois,Jour1),DATE(YEAR(DebAmort),MONTH(DebAmort)+1+(H309-1)*Imois,0)),DATE(YEAR(DebAmort),MONTH(DebAmort),Jour1+(H309-1)*Ijour)))</f>
        <v/>
      </c>
      <c r="L309" s="147">
        <f t="shared" si="5"/>
        <v>0</v>
      </c>
      <c r="M309" s="135">
        <f>IF(H309&lt;=NoEchMaxi,ROUND(L309*R309,NbDeci),0)</f>
        <v>0</v>
      </c>
      <c r="N309" s="134">
        <f>IF(OR(H309&lt;=Différé,H309&gt;NoEchMaxi),IF(DiffTotal,-M309,0),IF(H309&gt;=NoEchRemb,L309,IF(S309-(M309*EchFIXE)&gt;L309-2,L309,S309-(M309*EchFIXE))))+C309</f>
        <v>0</v>
      </c>
      <c r="O309" s="136">
        <f>IF(OR(L309=0,H309&gt;NoEchMaxi),0,ROUND(FraisF+FraisV*L309,NbDeci))+F309</f>
        <v>0</v>
      </c>
      <c r="P309" s="148">
        <f t="shared" si="3"/>
        <v>0</v>
      </c>
      <c r="Q309" s="1"/>
      <c r="R309" s="138">
        <f>IF(B309&gt;0,IF(TauxActuariel,((B309+1)^(1/NbEchAn))-1,B309/NbEchAn),R308)</f>
        <v>0.04</v>
      </c>
      <c r="S309" s="139">
        <f>IF(E309&gt;0,E309,IF(D309&gt;0,IF(AND(EchFIXE,R309&gt;0),ROUND((L309-C309)*R309/(1-((1+R309)^-D309)),NbDeci),ROUND(L309/D309,NbDeci)),S308))</f>
        <v>6664</v>
      </c>
      <c r="T309" s="1"/>
      <c r="U309" s="1"/>
      <c r="V309" s="1"/>
      <c r="W309" s="1"/>
      <c r="X309" s="1"/>
      <c r="Y309" s="1"/>
      <c r="Z309" s="1"/>
      <c r="AA309" s="1"/>
    </row>
    <row r="310" ht="12.75" customHeight="1">
      <c r="A310" s="1"/>
      <c r="B310" s="140"/>
      <c r="C310" s="141"/>
      <c r="D310" s="142"/>
      <c r="E310" s="143"/>
      <c r="F310" s="144"/>
      <c r="G310" s="1"/>
      <c r="H310" s="131" t="str">
        <f t="shared" si="4"/>
        <v/>
      </c>
      <c r="I310" s="132" t="str">
        <f>IF(L310&gt;0,NbEch+Différé+1-H310,"")</f>
        <v/>
      </c>
      <c r="J310" s="145" t="str">
        <f t="shared" si="2"/>
        <v/>
      </c>
      <c r="K310" s="146" t="str">
        <f>IF(L310=0,"",IF(Ijour=0,MIN(DATE(YEAR(DebAmort),MONTH(DebAmort)+MoisD+(H310-1)*Imois,Jour2),DATE(YEAR(DebAmort),MONTH(DebAmort)+MoisD+1+(H310-1)*Imois,0)),DATE(YEAR(DebAmort),MONTH(DebAmort),Jour1+(H310-1)*Ijour)))</f>
        <v/>
      </c>
      <c r="L310" s="147">
        <f t="shared" si="5"/>
        <v>0</v>
      </c>
      <c r="M310" s="135">
        <f>IF(H310&lt;=NoEchMaxi,ROUND(L310*R310,NbDeci),0)</f>
        <v>0</v>
      </c>
      <c r="N310" s="134">
        <f>IF(OR(H310&lt;=Différé,H310&gt;NoEchMaxi),IF(DiffTotal,-M310,0),IF(H310&gt;=NoEchRemb,L310,IF(S310-(M310*EchFIXE)&gt;L310-2,L310,S310-(M310*EchFIXE))))+C310</f>
        <v>0</v>
      </c>
      <c r="O310" s="136">
        <f>IF(OR(L310=0,H310&gt;NoEchMaxi),0,ROUND(FraisF+FraisV*L310,NbDeci))+F310</f>
        <v>0</v>
      </c>
      <c r="P310" s="148">
        <f t="shared" si="3"/>
        <v>0</v>
      </c>
      <c r="Q310" s="1"/>
      <c r="R310" s="138">
        <f>IF(B310&gt;0,IF(TauxActuariel,((B310+1)^(1/NbEchAn))-1,B310/NbEchAn),R309)</f>
        <v>0.04</v>
      </c>
      <c r="S310" s="139">
        <f>IF(E310&gt;0,E310,IF(D310&gt;0,IF(AND(EchFIXE,R310&gt;0),ROUND((L310-C310)*R310/(1-((1+R310)^-D310)),NbDeci),ROUND(L310/D310,NbDeci)),S309))</f>
        <v>6664</v>
      </c>
      <c r="T310" s="1"/>
      <c r="U310" s="1"/>
      <c r="V310" s="1"/>
      <c r="W310" s="1"/>
      <c r="X310" s="1"/>
      <c r="Y310" s="1"/>
      <c r="Z310" s="1"/>
      <c r="AA310" s="1"/>
    </row>
    <row r="311" ht="12.75" customHeight="1">
      <c r="A311" s="1"/>
      <c r="B311" s="140"/>
      <c r="C311" s="141"/>
      <c r="D311" s="142"/>
      <c r="E311" s="143"/>
      <c r="F311" s="144"/>
      <c r="G311" s="1"/>
      <c r="H311" s="131" t="str">
        <f t="shared" si="4"/>
        <v/>
      </c>
      <c r="I311" s="132" t="str">
        <f>IF(L311&gt;0,NbEch+Différé+1-H311,"")</f>
        <v/>
      </c>
      <c r="J311" s="145" t="str">
        <f t="shared" si="2"/>
        <v/>
      </c>
      <c r="K311" s="146" t="str">
        <f>IF(L311=0,"",IF(Ijour=0,MIN(DATE(YEAR(DebAmort),MONTH(DebAmort)+(H311-1)*Imois,Jour1),DATE(YEAR(DebAmort),MONTH(DebAmort)+1+(H311-1)*Imois,0)),DATE(YEAR(DebAmort),MONTH(DebAmort),Jour1+(H311-1)*Ijour)))</f>
        <v/>
      </c>
      <c r="L311" s="147">
        <f t="shared" si="5"/>
        <v>0</v>
      </c>
      <c r="M311" s="135">
        <f>IF(H311&lt;=NoEchMaxi,ROUND(L311*R311,NbDeci),0)</f>
        <v>0</v>
      </c>
      <c r="N311" s="134">
        <f>IF(OR(H311&lt;=Différé,H311&gt;NoEchMaxi),IF(DiffTotal,-M311,0),IF(H311&gt;=NoEchRemb,L311,IF(S311-(M311*EchFIXE)&gt;L311-2,L311,S311-(M311*EchFIXE))))+C311</f>
        <v>0</v>
      </c>
      <c r="O311" s="136">
        <f>IF(OR(L311=0,H311&gt;NoEchMaxi),0,ROUND(FraisF+FraisV*L311,NbDeci))+F311</f>
        <v>0</v>
      </c>
      <c r="P311" s="148">
        <f t="shared" si="3"/>
        <v>0</v>
      </c>
      <c r="Q311" s="1"/>
      <c r="R311" s="138">
        <f>IF(B311&gt;0,IF(TauxActuariel,((B311+1)^(1/NbEchAn))-1,B311/NbEchAn),R310)</f>
        <v>0.04</v>
      </c>
      <c r="S311" s="139">
        <f>IF(E311&gt;0,E311,IF(D311&gt;0,IF(AND(EchFIXE,R311&gt;0),ROUND((L311-C311)*R311/(1-((1+R311)^-D311)),NbDeci),ROUND(L311/D311,NbDeci)),S310))</f>
        <v>6664</v>
      </c>
      <c r="T311" s="1"/>
      <c r="U311" s="1"/>
      <c r="V311" s="1"/>
      <c r="W311" s="1"/>
      <c r="X311" s="1"/>
      <c r="Y311" s="1"/>
      <c r="Z311" s="1"/>
      <c r="AA311" s="1"/>
    </row>
    <row r="312" ht="12.75" customHeight="1">
      <c r="A312" s="1"/>
      <c r="B312" s="140"/>
      <c r="C312" s="141"/>
      <c r="D312" s="142"/>
      <c r="E312" s="143"/>
      <c r="F312" s="144"/>
      <c r="G312" s="1"/>
      <c r="H312" s="131" t="str">
        <f t="shared" si="4"/>
        <v/>
      </c>
      <c r="I312" s="132" t="str">
        <f>IF(L312&gt;0,NbEch+Différé+1-H312,"")</f>
        <v/>
      </c>
      <c r="J312" s="145" t="str">
        <f t="shared" si="2"/>
        <v/>
      </c>
      <c r="K312" s="146" t="str">
        <f>IF(L312=0,"",IF(Ijour=0,MIN(DATE(YEAR(DebAmort),MONTH(DebAmort)+MoisD+(H312-1)*Imois,Jour2),DATE(YEAR(DebAmort),MONTH(DebAmort)+MoisD+1+(H312-1)*Imois,0)),DATE(YEAR(DebAmort),MONTH(DebAmort),Jour1+(H312-1)*Ijour)))</f>
        <v/>
      </c>
      <c r="L312" s="147">
        <f t="shared" si="5"/>
        <v>0</v>
      </c>
      <c r="M312" s="135">
        <f>IF(H312&lt;=NoEchMaxi,ROUND(L312*R312,NbDeci),0)</f>
        <v>0</v>
      </c>
      <c r="N312" s="134">
        <f>IF(OR(H312&lt;=Différé,H312&gt;NoEchMaxi),IF(DiffTotal,-M312,0),IF(H312&gt;=NoEchRemb,L312,IF(S312-(M312*EchFIXE)&gt;L312-2,L312,S312-(M312*EchFIXE))))+C312</f>
        <v>0</v>
      </c>
      <c r="O312" s="136">
        <f>IF(OR(L312=0,H312&gt;NoEchMaxi),0,ROUND(FraisF+FraisV*L312,NbDeci))+F312</f>
        <v>0</v>
      </c>
      <c r="P312" s="148">
        <f t="shared" si="3"/>
        <v>0</v>
      </c>
      <c r="Q312" s="1"/>
      <c r="R312" s="138">
        <f>IF(B312&gt;0,IF(TauxActuariel,((B312+1)^(1/NbEchAn))-1,B312/NbEchAn),R311)</f>
        <v>0.04</v>
      </c>
      <c r="S312" s="139">
        <f>IF(E312&gt;0,E312,IF(D312&gt;0,IF(AND(EchFIXE,R312&gt;0),ROUND((L312-C312)*R312/(1-((1+R312)^-D312)),NbDeci),ROUND(L312/D312,NbDeci)),S311))</f>
        <v>6664</v>
      </c>
      <c r="T312" s="1"/>
      <c r="U312" s="1"/>
      <c r="V312" s="1"/>
      <c r="W312" s="1"/>
      <c r="X312" s="1"/>
      <c r="Y312" s="1"/>
      <c r="Z312" s="1"/>
      <c r="AA312" s="1"/>
    </row>
    <row r="313" ht="12.75" customHeight="1">
      <c r="A313" s="1"/>
      <c r="B313" s="140"/>
      <c r="C313" s="141"/>
      <c r="D313" s="142"/>
      <c r="E313" s="143"/>
      <c r="F313" s="144"/>
      <c r="G313" s="1"/>
      <c r="H313" s="131" t="str">
        <f t="shared" si="4"/>
        <v/>
      </c>
      <c r="I313" s="132" t="str">
        <f>IF(L313&gt;0,NbEch+Différé+1-H313,"")</f>
        <v/>
      </c>
      <c r="J313" s="145" t="str">
        <f t="shared" si="2"/>
        <v/>
      </c>
      <c r="K313" s="146" t="str">
        <f>IF(L313=0,"",IF(Ijour=0,MIN(DATE(YEAR(DebAmort),MONTH(DebAmort)+(H313-1)*Imois,Jour1),DATE(YEAR(DebAmort),MONTH(DebAmort)+1+(H313-1)*Imois,0)),DATE(YEAR(DebAmort),MONTH(DebAmort),Jour1+(H313-1)*Ijour)))</f>
        <v/>
      </c>
      <c r="L313" s="147">
        <f t="shared" si="5"/>
        <v>0</v>
      </c>
      <c r="M313" s="135">
        <f>IF(H313&lt;=NoEchMaxi,ROUND(L313*R313,NbDeci),0)</f>
        <v>0</v>
      </c>
      <c r="N313" s="134">
        <f>IF(OR(H313&lt;=Différé,H313&gt;NoEchMaxi),IF(DiffTotal,-M313,0),IF(H313&gt;=NoEchRemb,L313,IF(S313-(M313*EchFIXE)&gt;L313-2,L313,S313-(M313*EchFIXE))))+C313</f>
        <v>0</v>
      </c>
      <c r="O313" s="136">
        <f>IF(OR(L313=0,H313&gt;NoEchMaxi),0,ROUND(FraisF+FraisV*L313,NbDeci))+F313</f>
        <v>0</v>
      </c>
      <c r="P313" s="148">
        <f t="shared" si="3"/>
        <v>0</v>
      </c>
      <c r="Q313" s="1"/>
      <c r="R313" s="138">
        <f>IF(B313&gt;0,IF(TauxActuariel,((B313+1)^(1/NbEchAn))-1,B313/NbEchAn),R312)</f>
        <v>0.04</v>
      </c>
      <c r="S313" s="139">
        <f>IF(E313&gt;0,E313,IF(D313&gt;0,IF(AND(EchFIXE,R313&gt;0),ROUND((L313-C313)*R313/(1-((1+R313)^-D313)),NbDeci),ROUND(L313/D313,NbDeci)),S312))</f>
        <v>6664</v>
      </c>
      <c r="T313" s="1"/>
      <c r="U313" s="1"/>
      <c r="V313" s="1"/>
      <c r="W313" s="1"/>
      <c r="X313" s="1"/>
      <c r="Y313" s="1"/>
      <c r="Z313" s="1"/>
      <c r="AA313" s="1"/>
    </row>
    <row r="314" ht="12.75" customHeight="1">
      <c r="A314" s="1"/>
      <c r="B314" s="140"/>
      <c r="C314" s="141"/>
      <c r="D314" s="142"/>
      <c r="E314" s="143"/>
      <c r="F314" s="144"/>
      <c r="G314" s="1"/>
      <c r="H314" s="131" t="str">
        <f t="shared" si="4"/>
        <v/>
      </c>
      <c r="I314" s="132" t="str">
        <f>IF(L314&gt;0,NbEch+Différé+1-H314,"")</f>
        <v/>
      </c>
      <c r="J314" s="145" t="str">
        <f t="shared" si="2"/>
        <v/>
      </c>
      <c r="K314" s="146" t="str">
        <f>IF(L314=0,"",IF(Ijour=0,MIN(DATE(YEAR(DebAmort),MONTH(DebAmort)+MoisD+(H314-1)*Imois,Jour2),DATE(YEAR(DebAmort),MONTH(DebAmort)+MoisD+1+(H314-1)*Imois,0)),DATE(YEAR(DebAmort),MONTH(DebAmort),Jour1+(H314-1)*Ijour)))</f>
        <v/>
      </c>
      <c r="L314" s="147">
        <f t="shared" si="5"/>
        <v>0</v>
      </c>
      <c r="M314" s="135">
        <f>IF(H314&lt;=NoEchMaxi,ROUND(L314*R314,NbDeci),0)</f>
        <v>0</v>
      </c>
      <c r="N314" s="134">
        <f>IF(OR(H314&lt;=Différé,H314&gt;NoEchMaxi),IF(DiffTotal,-M314,0),IF(H314&gt;=NoEchRemb,L314,IF(S314-(M314*EchFIXE)&gt;L314-2,L314,S314-(M314*EchFIXE))))+C314</f>
        <v>0</v>
      </c>
      <c r="O314" s="136">
        <f>IF(OR(L314=0,H314&gt;NoEchMaxi),0,ROUND(FraisF+FraisV*L314,NbDeci))+F314</f>
        <v>0</v>
      </c>
      <c r="P314" s="148">
        <f t="shared" si="3"/>
        <v>0</v>
      </c>
      <c r="Q314" s="1"/>
      <c r="R314" s="138">
        <f>IF(B314&gt;0,IF(TauxActuariel,((B314+1)^(1/NbEchAn))-1,B314/NbEchAn),R313)</f>
        <v>0.04</v>
      </c>
      <c r="S314" s="139">
        <f>IF(E314&gt;0,E314,IF(D314&gt;0,IF(AND(EchFIXE,R314&gt;0),ROUND((L314-C314)*R314/(1-((1+R314)^-D314)),NbDeci),ROUND(L314/D314,NbDeci)),S313))</f>
        <v>6664</v>
      </c>
      <c r="T314" s="1"/>
      <c r="U314" s="1"/>
      <c r="V314" s="1"/>
      <c r="W314" s="1"/>
      <c r="X314" s="1"/>
      <c r="Y314" s="1"/>
      <c r="Z314" s="1"/>
      <c r="AA314" s="1"/>
    </row>
    <row r="315" ht="12.75" customHeight="1">
      <c r="A315" s="1"/>
      <c r="B315" s="140"/>
      <c r="C315" s="141"/>
      <c r="D315" s="142"/>
      <c r="E315" s="143"/>
      <c r="F315" s="144"/>
      <c r="G315" s="1"/>
      <c r="H315" s="131" t="str">
        <f t="shared" si="4"/>
        <v/>
      </c>
      <c r="I315" s="132" t="str">
        <f>IF(L315&gt;0,NbEch+Différé+1-H315,"")</f>
        <v/>
      </c>
      <c r="J315" s="145" t="str">
        <f t="shared" si="2"/>
        <v/>
      </c>
      <c r="K315" s="146" t="str">
        <f>IF(L315=0,"",IF(Ijour=0,MIN(DATE(YEAR(DebAmort),MONTH(DebAmort)+(H315-1)*Imois,Jour1),DATE(YEAR(DebAmort),MONTH(DebAmort)+1+(H315-1)*Imois,0)),DATE(YEAR(DebAmort),MONTH(DebAmort),Jour1+(H315-1)*Ijour)))</f>
        <v/>
      </c>
      <c r="L315" s="147">
        <f t="shared" si="5"/>
        <v>0</v>
      </c>
      <c r="M315" s="135">
        <f>IF(H315&lt;=NoEchMaxi,ROUND(L315*R315,NbDeci),0)</f>
        <v>0</v>
      </c>
      <c r="N315" s="134">
        <f>IF(OR(H315&lt;=Différé,H315&gt;NoEchMaxi),IF(DiffTotal,-M315,0),IF(H315&gt;=NoEchRemb,L315,IF(S315-(M315*EchFIXE)&gt;L315-2,L315,S315-(M315*EchFIXE))))+C315</f>
        <v>0</v>
      </c>
      <c r="O315" s="136">
        <f>IF(OR(L315=0,H315&gt;NoEchMaxi),0,ROUND(FraisF+FraisV*L315,NbDeci))+F315</f>
        <v>0</v>
      </c>
      <c r="P315" s="148">
        <f t="shared" si="3"/>
        <v>0</v>
      </c>
      <c r="Q315" s="1"/>
      <c r="R315" s="138">
        <f>IF(B315&gt;0,IF(TauxActuariel,((B315+1)^(1/NbEchAn))-1,B315/NbEchAn),R314)</f>
        <v>0.04</v>
      </c>
      <c r="S315" s="139">
        <f>IF(E315&gt;0,E315,IF(D315&gt;0,IF(AND(EchFIXE,R315&gt;0),ROUND((L315-C315)*R315/(1-((1+R315)^-D315)),NbDeci),ROUND(L315/D315,NbDeci)),S314))</f>
        <v>6664</v>
      </c>
      <c r="T315" s="1"/>
      <c r="U315" s="1"/>
      <c r="V315" s="1"/>
      <c r="W315" s="1"/>
      <c r="X315" s="1"/>
      <c r="Y315" s="1"/>
      <c r="Z315" s="1"/>
      <c r="AA315" s="1"/>
    </row>
    <row r="316" ht="12.75" customHeight="1">
      <c r="A316" s="1"/>
      <c r="B316" s="140"/>
      <c r="C316" s="141"/>
      <c r="D316" s="142"/>
      <c r="E316" s="143"/>
      <c r="F316" s="144"/>
      <c r="G316" s="1"/>
      <c r="H316" s="131" t="str">
        <f t="shared" si="4"/>
        <v/>
      </c>
      <c r="I316" s="132" t="str">
        <f>IF(L316&gt;0,NbEch+Différé+1-H316,"")</f>
        <v/>
      </c>
      <c r="J316" s="145" t="str">
        <f t="shared" si="2"/>
        <v/>
      </c>
      <c r="K316" s="146" t="str">
        <f>IF(L316=0,"",IF(Ijour=0,MIN(DATE(YEAR(DebAmort),MONTH(DebAmort)+MoisD+(H316-1)*Imois,Jour2),DATE(YEAR(DebAmort),MONTH(DebAmort)+MoisD+1+(H316-1)*Imois,0)),DATE(YEAR(DebAmort),MONTH(DebAmort),Jour1+(H316-1)*Ijour)))</f>
        <v/>
      </c>
      <c r="L316" s="147">
        <f t="shared" si="5"/>
        <v>0</v>
      </c>
      <c r="M316" s="135">
        <f>IF(H316&lt;=NoEchMaxi,ROUND(L316*R316,NbDeci),0)</f>
        <v>0</v>
      </c>
      <c r="N316" s="134">
        <f>IF(OR(H316&lt;=Différé,H316&gt;NoEchMaxi),IF(DiffTotal,-M316,0),IF(H316&gt;=NoEchRemb,L316,IF(S316-(M316*EchFIXE)&gt;L316-2,L316,S316-(M316*EchFIXE))))+C316</f>
        <v>0</v>
      </c>
      <c r="O316" s="136">
        <f>IF(OR(L316=0,H316&gt;NoEchMaxi),0,ROUND(FraisF+FraisV*L316,NbDeci))+F316</f>
        <v>0</v>
      </c>
      <c r="P316" s="148">
        <f t="shared" si="3"/>
        <v>0</v>
      </c>
      <c r="Q316" s="1"/>
      <c r="R316" s="138">
        <f>IF(B316&gt;0,IF(TauxActuariel,((B316+1)^(1/NbEchAn))-1,B316/NbEchAn),R315)</f>
        <v>0.04</v>
      </c>
      <c r="S316" s="139">
        <f>IF(E316&gt;0,E316,IF(D316&gt;0,IF(AND(EchFIXE,R316&gt;0),ROUND((L316-C316)*R316/(1-((1+R316)^-D316)),NbDeci),ROUND(L316/D316,NbDeci)),S315))</f>
        <v>6664</v>
      </c>
      <c r="T316" s="1"/>
      <c r="U316" s="1"/>
      <c r="V316" s="1"/>
      <c r="W316" s="1"/>
      <c r="X316" s="1"/>
      <c r="Y316" s="1"/>
      <c r="Z316" s="1"/>
      <c r="AA316" s="1"/>
    </row>
    <row r="317" ht="12.75" customHeight="1">
      <c r="A317" s="1"/>
      <c r="B317" s="140"/>
      <c r="C317" s="141"/>
      <c r="D317" s="142"/>
      <c r="E317" s="143"/>
      <c r="F317" s="144"/>
      <c r="G317" s="1"/>
      <c r="H317" s="131" t="str">
        <f t="shared" si="4"/>
        <v/>
      </c>
      <c r="I317" s="132" t="str">
        <f>IF(L317&gt;0,NbEch+Différé+1-H317,"")</f>
        <v/>
      </c>
      <c r="J317" s="145" t="str">
        <f t="shared" si="2"/>
        <v/>
      </c>
      <c r="K317" s="146" t="str">
        <f>IF(L317=0,"",IF(Ijour=0,MIN(DATE(YEAR(DebAmort),MONTH(DebAmort)+(H317-1)*Imois,Jour1),DATE(YEAR(DebAmort),MONTH(DebAmort)+1+(H317-1)*Imois,0)),DATE(YEAR(DebAmort),MONTH(DebAmort),Jour1+(H317-1)*Ijour)))</f>
        <v/>
      </c>
      <c r="L317" s="147">
        <f t="shared" si="5"/>
        <v>0</v>
      </c>
      <c r="M317" s="135">
        <f>IF(H317&lt;=NoEchMaxi,ROUND(L317*R317,NbDeci),0)</f>
        <v>0</v>
      </c>
      <c r="N317" s="134">
        <f>IF(OR(H317&lt;=Différé,H317&gt;NoEchMaxi),IF(DiffTotal,-M317,0),IF(H317&gt;=NoEchRemb,L317,IF(S317-(M317*EchFIXE)&gt;L317-2,L317,S317-(M317*EchFIXE))))+C317</f>
        <v>0</v>
      </c>
      <c r="O317" s="136">
        <f>IF(OR(L317=0,H317&gt;NoEchMaxi),0,ROUND(FraisF+FraisV*L317,NbDeci))+F317</f>
        <v>0</v>
      </c>
      <c r="P317" s="148">
        <f t="shared" si="3"/>
        <v>0</v>
      </c>
      <c r="Q317" s="1"/>
      <c r="R317" s="138">
        <f>IF(B317&gt;0,IF(TauxActuariel,((B317+1)^(1/NbEchAn))-1,B317/NbEchAn),R316)</f>
        <v>0.04</v>
      </c>
      <c r="S317" s="139">
        <f>IF(E317&gt;0,E317,IF(D317&gt;0,IF(AND(EchFIXE,R317&gt;0),ROUND((L317-C317)*R317/(1-((1+R317)^-D317)),NbDeci),ROUND(L317/D317,NbDeci)),S316))</f>
        <v>6664</v>
      </c>
      <c r="T317" s="1"/>
      <c r="U317" s="1"/>
      <c r="V317" s="1"/>
      <c r="W317" s="1"/>
      <c r="X317" s="1"/>
      <c r="Y317" s="1"/>
      <c r="Z317" s="1"/>
      <c r="AA317" s="1"/>
    </row>
    <row r="318" ht="12.75" customHeight="1">
      <c r="A318" s="1"/>
      <c r="B318" s="140"/>
      <c r="C318" s="141"/>
      <c r="D318" s="142"/>
      <c r="E318" s="143"/>
      <c r="F318" s="144"/>
      <c r="G318" s="1"/>
      <c r="H318" s="131" t="str">
        <f t="shared" si="4"/>
        <v/>
      </c>
      <c r="I318" s="132" t="str">
        <f>IF(L318&gt;0,NbEch+Différé+1-H318,"")</f>
        <v/>
      </c>
      <c r="J318" s="145" t="str">
        <f t="shared" si="2"/>
        <v/>
      </c>
      <c r="K318" s="146" t="str">
        <f>IF(L318=0,"",IF(Ijour=0,MIN(DATE(YEAR(DebAmort),MONTH(DebAmort)+MoisD+(H318-1)*Imois,Jour2),DATE(YEAR(DebAmort),MONTH(DebAmort)+MoisD+1+(H318-1)*Imois,0)),DATE(YEAR(DebAmort),MONTH(DebAmort),Jour1+(H318-1)*Ijour)))</f>
        <v/>
      </c>
      <c r="L318" s="147">
        <f t="shared" si="5"/>
        <v>0</v>
      </c>
      <c r="M318" s="135">
        <f>IF(H318&lt;=NoEchMaxi,ROUND(L318*R318,NbDeci),0)</f>
        <v>0</v>
      </c>
      <c r="N318" s="134">
        <f>IF(OR(H318&lt;=Différé,H318&gt;NoEchMaxi),IF(DiffTotal,-M318,0),IF(H318&gt;=NoEchRemb,L318,IF(S318-(M318*EchFIXE)&gt;L318-2,L318,S318-(M318*EchFIXE))))+C318</f>
        <v>0</v>
      </c>
      <c r="O318" s="136">
        <f>IF(OR(L318=0,H318&gt;NoEchMaxi),0,ROUND(FraisF+FraisV*L318,NbDeci))+F318</f>
        <v>0</v>
      </c>
      <c r="P318" s="148">
        <f t="shared" si="3"/>
        <v>0</v>
      </c>
      <c r="Q318" s="1"/>
      <c r="R318" s="138">
        <f>IF(B318&gt;0,IF(TauxActuariel,((B318+1)^(1/NbEchAn))-1,B318/NbEchAn),R317)</f>
        <v>0.04</v>
      </c>
      <c r="S318" s="139">
        <f>IF(E318&gt;0,E318,IF(D318&gt;0,IF(AND(EchFIXE,R318&gt;0),ROUND((L318-C318)*R318/(1-((1+R318)^-D318)),NbDeci),ROUND(L318/D318,NbDeci)),S317))</f>
        <v>6664</v>
      </c>
      <c r="T318" s="1"/>
      <c r="U318" s="1"/>
      <c r="V318" s="1"/>
      <c r="W318" s="1"/>
      <c r="X318" s="1"/>
      <c r="Y318" s="1"/>
      <c r="Z318" s="1"/>
      <c r="AA318" s="1"/>
    </row>
    <row r="319" ht="12.75" customHeight="1">
      <c r="A319" s="1"/>
      <c r="B319" s="140"/>
      <c r="C319" s="141"/>
      <c r="D319" s="142"/>
      <c r="E319" s="143"/>
      <c r="F319" s="144"/>
      <c r="G319" s="1"/>
      <c r="H319" s="131" t="str">
        <f t="shared" si="4"/>
        <v/>
      </c>
      <c r="I319" s="132" t="str">
        <f>IF(L319&gt;0,NbEch+Différé+1-H319,"")</f>
        <v/>
      </c>
      <c r="J319" s="145" t="str">
        <f t="shared" si="2"/>
        <v/>
      </c>
      <c r="K319" s="146" t="str">
        <f>IF(L319=0,"",IF(Ijour=0,MIN(DATE(YEAR(DebAmort),MONTH(DebAmort)+(H319-1)*Imois,Jour1),DATE(YEAR(DebAmort),MONTH(DebAmort)+1+(H319-1)*Imois,0)),DATE(YEAR(DebAmort),MONTH(DebAmort),Jour1+(H319-1)*Ijour)))</f>
        <v/>
      </c>
      <c r="L319" s="147">
        <f t="shared" si="5"/>
        <v>0</v>
      </c>
      <c r="M319" s="135">
        <f>IF(H319&lt;=NoEchMaxi,ROUND(L319*R319,NbDeci),0)</f>
        <v>0</v>
      </c>
      <c r="N319" s="134">
        <f>IF(OR(H319&lt;=Différé,H319&gt;NoEchMaxi),IF(DiffTotal,-M319,0),IF(H319&gt;=NoEchRemb,L319,IF(S319-(M319*EchFIXE)&gt;L319-2,L319,S319-(M319*EchFIXE))))+C319</f>
        <v>0</v>
      </c>
      <c r="O319" s="136">
        <f>IF(OR(L319=0,H319&gt;NoEchMaxi),0,ROUND(FraisF+FraisV*L319,NbDeci))+F319</f>
        <v>0</v>
      </c>
      <c r="P319" s="148">
        <f t="shared" si="3"/>
        <v>0</v>
      </c>
      <c r="Q319" s="1"/>
      <c r="R319" s="138">
        <f>IF(B319&gt;0,IF(TauxActuariel,((B319+1)^(1/NbEchAn))-1,B319/NbEchAn),R318)</f>
        <v>0.04</v>
      </c>
      <c r="S319" s="139">
        <f>IF(E319&gt;0,E319,IF(D319&gt;0,IF(AND(EchFIXE,R319&gt;0),ROUND((L319-C319)*R319/(1-((1+R319)^-D319)),NbDeci),ROUND(L319/D319,NbDeci)),S318))</f>
        <v>6664</v>
      </c>
      <c r="T319" s="1"/>
      <c r="U319" s="1"/>
      <c r="V319" s="1"/>
      <c r="W319" s="1"/>
      <c r="X319" s="1"/>
      <c r="Y319" s="1"/>
      <c r="Z319" s="1"/>
      <c r="AA319" s="1"/>
    </row>
    <row r="320" ht="12.75" customHeight="1">
      <c r="A320" s="1"/>
      <c r="B320" s="140"/>
      <c r="C320" s="141"/>
      <c r="D320" s="142"/>
      <c r="E320" s="143"/>
      <c r="F320" s="144"/>
      <c r="G320" s="1"/>
      <c r="H320" s="131" t="str">
        <f t="shared" si="4"/>
        <v/>
      </c>
      <c r="I320" s="132" t="str">
        <f>IF(L320&gt;0,NbEch+Différé+1-H320,"")</f>
        <v/>
      </c>
      <c r="J320" s="145" t="str">
        <f t="shared" si="2"/>
        <v/>
      </c>
      <c r="K320" s="146" t="str">
        <f>IF(L320=0,"",IF(Ijour=0,MIN(DATE(YEAR(DebAmort),MONTH(DebAmort)+MoisD+(H320-1)*Imois,Jour2),DATE(YEAR(DebAmort),MONTH(DebAmort)+MoisD+1+(H320-1)*Imois,0)),DATE(YEAR(DebAmort),MONTH(DebAmort),Jour1+(H320-1)*Ijour)))</f>
        <v/>
      </c>
      <c r="L320" s="147">
        <f t="shared" si="5"/>
        <v>0</v>
      </c>
      <c r="M320" s="135">
        <f>IF(H320&lt;=NoEchMaxi,ROUND(L320*R320,NbDeci),0)</f>
        <v>0</v>
      </c>
      <c r="N320" s="134">
        <f>IF(OR(H320&lt;=Différé,H320&gt;NoEchMaxi),IF(DiffTotal,-M320,0),IF(H320&gt;=NoEchRemb,L320,IF(S320-(M320*EchFIXE)&gt;L320-2,L320,S320-(M320*EchFIXE))))+C320</f>
        <v>0</v>
      </c>
      <c r="O320" s="136">
        <f>IF(OR(L320=0,H320&gt;NoEchMaxi),0,ROUND(FraisF+FraisV*L320,NbDeci))+F320</f>
        <v>0</v>
      </c>
      <c r="P320" s="148">
        <f t="shared" si="3"/>
        <v>0</v>
      </c>
      <c r="Q320" s="1"/>
      <c r="R320" s="138">
        <f>IF(B320&gt;0,IF(TauxActuariel,((B320+1)^(1/NbEchAn))-1,B320/NbEchAn),R319)</f>
        <v>0.04</v>
      </c>
      <c r="S320" s="139">
        <f>IF(E320&gt;0,E320,IF(D320&gt;0,IF(AND(EchFIXE,R320&gt;0),ROUND((L320-C320)*R320/(1-((1+R320)^-D320)),NbDeci),ROUND(L320/D320,NbDeci)),S319))</f>
        <v>6664</v>
      </c>
      <c r="T320" s="1"/>
      <c r="U320" s="1"/>
      <c r="V320" s="1"/>
      <c r="W320" s="1"/>
      <c r="X320" s="1"/>
      <c r="Y320" s="1"/>
      <c r="Z320" s="1"/>
      <c r="AA320" s="1"/>
    </row>
    <row r="321" ht="12.75" customHeight="1">
      <c r="A321" s="1"/>
      <c r="B321" s="140"/>
      <c r="C321" s="141"/>
      <c r="D321" s="142"/>
      <c r="E321" s="143"/>
      <c r="F321" s="144"/>
      <c r="G321" s="1"/>
      <c r="H321" s="131" t="str">
        <f t="shared" si="4"/>
        <v/>
      </c>
      <c r="I321" s="132" t="str">
        <f>IF(L321&gt;0,NbEch+Différé+1-H321,"")</f>
        <v/>
      </c>
      <c r="J321" s="145" t="str">
        <f t="shared" si="2"/>
        <v/>
      </c>
      <c r="K321" s="146" t="str">
        <f>IF(L321=0,"",IF(Ijour=0,MIN(DATE(YEAR(DebAmort),MONTH(DebAmort)+(H321-1)*Imois,Jour1),DATE(YEAR(DebAmort),MONTH(DebAmort)+1+(H321-1)*Imois,0)),DATE(YEAR(DebAmort),MONTH(DebAmort),Jour1+(H321-1)*Ijour)))</f>
        <v/>
      </c>
      <c r="L321" s="147">
        <f t="shared" si="5"/>
        <v>0</v>
      </c>
      <c r="M321" s="135">
        <f>IF(H321&lt;=NoEchMaxi,ROUND(L321*R321,NbDeci),0)</f>
        <v>0</v>
      </c>
      <c r="N321" s="134">
        <f>IF(OR(H321&lt;=Différé,H321&gt;NoEchMaxi),IF(DiffTotal,-M321,0),IF(H321&gt;=NoEchRemb,L321,IF(S321-(M321*EchFIXE)&gt;L321-2,L321,S321-(M321*EchFIXE))))+C321</f>
        <v>0</v>
      </c>
      <c r="O321" s="136">
        <f>IF(OR(L321=0,H321&gt;NoEchMaxi),0,ROUND(FraisF+FraisV*L321,NbDeci))+F321</f>
        <v>0</v>
      </c>
      <c r="P321" s="148">
        <f t="shared" si="3"/>
        <v>0</v>
      </c>
      <c r="Q321" s="1"/>
      <c r="R321" s="138">
        <f>IF(B321&gt;0,IF(TauxActuariel,((B321+1)^(1/NbEchAn))-1,B321/NbEchAn),R320)</f>
        <v>0.04</v>
      </c>
      <c r="S321" s="139">
        <f>IF(E321&gt;0,E321,IF(D321&gt;0,IF(AND(EchFIXE,R321&gt;0),ROUND((L321-C321)*R321/(1-((1+R321)^-D321)),NbDeci),ROUND(L321/D321,NbDeci)),S320))</f>
        <v>6664</v>
      </c>
      <c r="T321" s="1"/>
      <c r="U321" s="1"/>
      <c r="V321" s="1"/>
      <c r="W321" s="1"/>
      <c r="X321" s="1"/>
      <c r="Y321" s="1"/>
      <c r="Z321" s="1"/>
      <c r="AA321" s="1"/>
    </row>
    <row r="322" ht="12.75" customHeight="1">
      <c r="A322" s="1"/>
      <c r="B322" s="140"/>
      <c r="C322" s="141"/>
      <c r="D322" s="142"/>
      <c r="E322" s="143"/>
      <c r="F322" s="144"/>
      <c r="G322" s="1"/>
      <c r="H322" s="131" t="str">
        <f t="shared" si="4"/>
        <v/>
      </c>
      <c r="I322" s="132" t="str">
        <f>IF(L322&gt;0,NbEch+Différé+1-H322,"")</f>
        <v/>
      </c>
      <c r="J322" s="145" t="str">
        <f t="shared" si="2"/>
        <v/>
      </c>
      <c r="K322" s="146" t="str">
        <f>IF(L322=0,"",IF(Ijour=0,MIN(DATE(YEAR(DebAmort),MONTH(DebAmort)+MoisD+(H322-1)*Imois,Jour2),DATE(YEAR(DebAmort),MONTH(DebAmort)+MoisD+1+(H322-1)*Imois,0)),DATE(YEAR(DebAmort),MONTH(DebAmort),Jour1+(H322-1)*Ijour)))</f>
        <v/>
      </c>
      <c r="L322" s="147">
        <f t="shared" si="5"/>
        <v>0</v>
      </c>
      <c r="M322" s="135">
        <f>IF(H322&lt;=NoEchMaxi,ROUND(L322*R322,NbDeci),0)</f>
        <v>0</v>
      </c>
      <c r="N322" s="134">
        <f>IF(OR(H322&lt;=Différé,H322&gt;NoEchMaxi),IF(DiffTotal,-M322,0),IF(H322&gt;=NoEchRemb,L322,IF(S322-(M322*EchFIXE)&gt;L322-2,L322,S322-(M322*EchFIXE))))+C322</f>
        <v>0</v>
      </c>
      <c r="O322" s="136">
        <f>IF(OR(L322=0,H322&gt;NoEchMaxi),0,ROUND(FraisF+FraisV*L322,NbDeci))+F322</f>
        <v>0</v>
      </c>
      <c r="P322" s="148">
        <f t="shared" si="3"/>
        <v>0</v>
      </c>
      <c r="Q322" s="1"/>
      <c r="R322" s="138">
        <f>IF(B322&gt;0,IF(TauxActuariel,((B322+1)^(1/NbEchAn))-1,B322/NbEchAn),R321)</f>
        <v>0.04</v>
      </c>
      <c r="S322" s="139">
        <f>IF(E322&gt;0,E322,IF(D322&gt;0,IF(AND(EchFIXE,R322&gt;0),ROUND((L322-C322)*R322/(1-((1+R322)^-D322)),NbDeci),ROUND(L322/D322,NbDeci)),S321))</f>
        <v>6664</v>
      </c>
      <c r="T322" s="1"/>
      <c r="U322" s="1"/>
      <c r="V322" s="1"/>
      <c r="W322" s="1"/>
      <c r="X322" s="1"/>
      <c r="Y322" s="1"/>
      <c r="Z322" s="1"/>
      <c r="AA322" s="1"/>
    </row>
    <row r="323" ht="12.75" customHeight="1">
      <c r="A323" s="1"/>
      <c r="B323" s="140"/>
      <c r="C323" s="141"/>
      <c r="D323" s="142"/>
      <c r="E323" s="143"/>
      <c r="F323" s="144"/>
      <c r="G323" s="1"/>
      <c r="H323" s="131" t="str">
        <f t="shared" si="4"/>
        <v/>
      </c>
      <c r="I323" s="132" t="str">
        <f>IF(L323&gt;0,NbEch+Différé+1-H323,"")</f>
        <v/>
      </c>
      <c r="J323" s="145" t="str">
        <f t="shared" si="2"/>
        <v/>
      </c>
      <c r="K323" s="146" t="str">
        <f>IF(L323=0,"",IF(Ijour=0,MIN(DATE(YEAR(DebAmort),MONTH(DebAmort)+(H323-1)*Imois,Jour1),DATE(YEAR(DebAmort),MONTH(DebAmort)+1+(H323-1)*Imois,0)),DATE(YEAR(DebAmort),MONTH(DebAmort),Jour1+(H323-1)*Ijour)))</f>
        <v/>
      </c>
      <c r="L323" s="147">
        <f t="shared" si="5"/>
        <v>0</v>
      </c>
      <c r="M323" s="135">
        <f>IF(H323&lt;=NoEchMaxi,ROUND(L323*R323,NbDeci),0)</f>
        <v>0</v>
      </c>
      <c r="N323" s="134">
        <f>IF(OR(H323&lt;=Différé,H323&gt;NoEchMaxi),IF(DiffTotal,-M323,0),IF(H323&gt;=NoEchRemb,L323,IF(S323-(M323*EchFIXE)&gt;L323-2,L323,S323-(M323*EchFIXE))))+C323</f>
        <v>0</v>
      </c>
      <c r="O323" s="136">
        <f>IF(OR(L323=0,H323&gt;NoEchMaxi),0,ROUND(FraisF+FraisV*L323,NbDeci))+F323</f>
        <v>0</v>
      </c>
      <c r="P323" s="148">
        <f t="shared" si="3"/>
        <v>0</v>
      </c>
      <c r="Q323" s="1"/>
      <c r="R323" s="138">
        <f>IF(B323&gt;0,IF(TauxActuariel,((B323+1)^(1/NbEchAn))-1,B323/NbEchAn),R322)</f>
        <v>0.04</v>
      </c>
      <c r="S323" s="139">
        <f>IF(E323&gt;0,E323,IF(D323&gt;0,IF(AND(EchFIXE,R323&gt;0),ROUND((L323-C323)*R323/(1-((1+R323)^-D323)),NbDeci),ROUND(L323/D323,NbDeci)),S322))</f>
        <v>6664</v>
      </c>
      <c r="T323" s="1"/>
      <c r="U323" s="1"/>
      <c r="V323" s="1"/>
      <c r="W323" s="1"/>
      <c r="X323" s="1"/>
      <c r="Y323" s="1"/>
      <c r="Z323" s="1"/>
      <c r="AA323" s="1"/>
    </row>
    <row r="324" ht="12.75" customHeight="1">
      <c r="A324" s="1"/>
      <c r="B324" s="140"/>
      <c r="C324" s="141"/>
      <c r="D324" s="142"/>
      <c r="E324" s="143"/>
      <c r="F324" s="144"/>
      <c r="G324" s="1"/>
      <c r="H324" s="131" t="str">
        <f t="shared" si="4"/>
        <v/>
      </c>
      <c r="I324" s="132" t="str">
        <f>IF(L324&gt;0,NbEch+Différé+1-H324,"")</f>
        <v/>
      </c>
      <c r="J324" s="145" t="str">
        <f t="shared" si="2"/>
        <v/>
      </c>
      <c r="K324" s="146" t="str">
        <f>IF(L324=0,"",IF(Ijour=0,MIN(DATE(YEAR(DebAmort),MONTH(DebAmort)+MoisD+(H324-1)*Imois,Jour2),DATE(YEAR(DebAmort),MONTH(DebAmort)+MoisD+1+(H324-1)*Imois,0)),DATE(YEAR(DebAmort),MONTH(DebAmort),Jour1+(H324-1)*Ijour)))</f>
        <v/>
      </c>
      <c r="L324" s="147">
        <f t="shared" si="5"/>
        <v>0</v>
      </c>
      <c r="M324" s="135">
        <f>IF(H324&lt;=NoEchMaxi,ROUND(L324*R324,NbDeci),0)</f>
        <v>0</v>
      </c>
      <c r="N324" s="134">
        <f>IF(OR(H324&lt;=Différé,H324&gt;NoEchMaxi),IF(DiffTotal,-M324,0),IF(H324&gt;=NoEchRemb,L324,IF(S324-(M324*EchFIXE)&gt;L324-2,L324,S324-(M324*EchFIXE))))+C324</f>
        <v>0</v>
      </c>
      <c r="O324" s="136">
        <f>IF(OR(L324=0,H324&gt;NoEchMaxi),0,ROUND(FraisF+FraisV*L324,NbDeci))+F324</f>
        <v>0</v>
      </c>
      <c r="P324" s="148">
        <f t="shared" si="3"/>
        <v>0</v>
      </c>
      <c r="Q324" s="1"/>
      <c r="R324" s="138">
        <f>IF(B324&gt;0,IF(TauxActuariel,((B324+1)^(1/NbEchAn))-1,B324/NbEchAn),R323)</f>
        <v>0.04</v>
      </c>
      <c r="S324" s="139">
        <f>IF(E324&gt;0,E324,IF(D324&gt;0,IF(AND(EchFIXE,R324&gt;0),ROUND((L324-C324)*R324/(1-((1+R324)^-D324)),NbDeci),ROUND(L324/D324,NbDeci)),S323))</f>
        <v>6664</v>
      </c>
      <c r="T324" s="1"/>
      <c r="U324" s="1"/>
      <c r="V324" s="1"/>
      <c r="W324" s="1"/>
      <c r="X324" s="1"/>
      <c r="Y324" s="1"/>
      <c r="Z324" s="1"/>
      <c r="AA324" s="1"/>
    </row>
    <row r="325" ht="12.75" customHeight="1">
      <c r="A325" s="1"/>
      <c r="B325" s="140"/>
      <c r="C325" s="141"/>
      <c r="D325" s="142"/>
      <c r="E325" s="143"/>
      <c r="F325" s="144"/>
      <c r="G325" s="1"/>
      <c r="H325" s="131" t="str">
        <f t="shared" si="4"/>
        <v/>
      </c>
      <c r="I325" s="132" t="str">
        <f>IF(L325&gt;0,NbEch+Différé+1-H325,"")</f>
        <v/>
      </c>
      <c r="J325" s="145" t="str">
        <f t="shared" si="2"/>
        <v/>
      </c>
      <c r="K325" s="146" t="str">
        <f>IF(L325=0,"",IF(Ijour=0,MIN(DATE(YEAR(DebAmort),MONTH(DebAmort)+(H325-1)*Imois,Jour1),DATE(YEAR(DebAmort),MONTH(DebAmort)+1+(H325-1)*Imois,0)),DATE(YEAR(DebAmort),MONTH(DebAmort),Jour1+(H325-1)*Ijour)))</f>
        <v/>
      </c>
      <c r="L325" s="147">
        <f t="shared" si="5"/>
        <v>0</v>
      </c>
      <c r="M325" s="135">
        <f>IF(H325&lt;=NoEchMaxi,ROUND(L325*R325,NbDeci),0)</f>
        <v>0</v>
      </c>
      <c r="N325" s="134">
        <f>IF(OR(H325&lt;=Différé,H325&gt;NoEchMaxi),IF(DiffTotal,-M325,0),IF(H325&gt;=NoEchRemb,L325,IF(S325-(M325*EchFIXE)&gt;L325-2,L325,S325-(M325*EchFIXE))))+C325</f>
        <v>0</v>
      </c>
      <c r="O325" s="136">
        <f>IF(OR(L325=0,H325&gt;NoEchMaxi),0,ROUND(FraisF+FraisV*L325,NbDeci))+F325</f>
        <v>0</v>
      </c>
      <c r="P325" s="148">
        <f t="shared" si="3"/>
        <v>0</v>
      </c>
      <c r="Q325" s="1"/>
      <c r="R325" s="138">
        <f>IF(B325&gt;0,IF(TauxActuariel,((B325+1)^(1/NbEchAn))-1,B325/NbEchAn),R324)</f>
        <v>0.04</v>
      </c>
      <c r="S325" s="139">
        <f>IF(E325&gt;0,E325,IF(D325&gt;0,IF(AND(EchFIXE,R325&gt;0),ROUND((L325-C325)*R325/(1-((1+R325)^-D325)),NbDeci),ROUND(L325/D325,NbDeci)),S324))</f>
        <v>6664</v>
      </c>
      <c r="T325" s="1"/>
      <c r="U325" s="1"/>
      <c r="V325" s="1"/>
      <c r="W325" s="1"/>
      <c r="X325" s="1"/>
      <c r="Y325" s="1"/>
      <c r="Z325" s="1"/>
      <c r="AA325" s="1"/>
    </row>
    <row r="326" ht="12.75" customHeight="1">
      <c r="A326" s="1"/>
      <c r="B326" s="140"/>
      <c r="C326" s="141"/>
      <c r="D326" s="142"/>
      <c r="E326" s="143"/>
      <c r="F326" s="144"/>
      <c r="G326" s="1"/>
      <c r="H326" s="131" t="str">
        <f t="shared" si="4"/>
        <v/>
      </c>
      <c r="I326" s="132" t="str">
        <f>IF(L326&gt;0,NbEch+Différé+1-H326,"")</f>
        <v/>
      </c>
      <c r="J326" s="145" t="str">
        <f t="shared" si="2"/>
        <v/>
      </c>
      <c r="K326" s="146" t="str">
        <f>IF(L326=0,"",IF(Ijour=0,MIN(DATE(YEAR(DebAmort),MONTH(DebAmort)+MoisD+(H326-1)*Imois,Jour2),DATE(YEAR(DebAmort),MONTH(DebAmort)+MoisD+1+(H326-1)*Imois,0)),DATE(YEAR(DebAmort),MONTH(DebAmort),Jour1+(H326-1)*Ijour)))</f>
        <v/>
      </c>
      <c r="L326" s="147">
        <f t="shared" si="5"/>
        <v>0</v>
      </c>
      <c r="M326" s="135">
        <f>IF(H326&lt;=NoEchMaxi,ROUND(L326*R326,NbDeci),0)</f>
        <v>0</v>
      </c>
      <c r="N326" s="134">
        <f>IF(OR(H326&lt;=Différé,H326&gt;NoEchMaxi),IF(DiffTotal,-M326,0),IF(H326&gt;=NoEchRemb,L326,IF(S326-(M326*EchFIXE)&gt;L326-2,L326,S326-(M326*EchFIXE))))+C326</f>
        <v>0</v>
      </c>
      <c r="O326" s="136">
        <f>IF(OR(L326=0,H326&gt;NoEchMaxi),0,ROUND(FraisF+FraisV*L326,NbDeci))+F326</f>
        <v>0</v>
      </c>
      <c r="P326" s="148">
        <f t="shared" si="3"/>
        <v>0</v>
      </c>
      <c r="Q326" s="1"/>
      <c r="R326" s="138">
        <f>IF(B326&gt;0,IF(TauxActuariel,((B326+1)^(1/NbEchAn))-1,B326/NbEchAn),R325)</f>
        <v>0.04</v>
      </c>
      <c r="S326" s="139">
        <f>IF(E326&gt;0,E326,IF(D326&gt;0,IF(AND(EchFIXE,R326&gt;0),ROUND((L326-C326)*R326/(1-((1+R326)^-D326)),NbDeci),ROUND(L326/D326,NbDeci)),S325))</f>
        <v>6664</v>
      </c>
      <c r="T326" s="1"/>
      <c r="U326" s="1"/>
      <c r="V326" s="1"/>
      <c r="W326" s="1"/>
      <c r="X326" s="1"/>
      <c r="Y326" s="1"/>
      <c r="Z326" s="1"/>
      <c r="AA326" s="1"/>
    </row>
    <row r="327" ht="12.75" customHeight="1">
      <c r="A327" s="1"/>
      <c r="B327" s="140"/>
      <c r="C327" s="141"/>
      <c r="D327" s="142"/>
      <c r="E327" s="143"/>
      <c r="F327" s="144"/>
      <c r="G327" s="1"/>
      <c r="H327" s="131" t="str">
        <f t="shared" si="4"/>
        <v/>
      </c>
      <c r="I327" s="132" t="str">
        <f>IF(L327&gt;0,NbEch+Différé+1-H327,"")</f>
        <v/>
      </c>
      <c r="J327" s="145" t="str">
        <f t="shared" si="2"/>
        <v/>
      </c>
      <c r="K327" s="146" t="str">
        <f>IF(L327=0,"",IF(Ijour=0,MIN(DATE(YEAR(DebAmort),MONTH(DebAmort)+(H327-1)*Imois,Jour1),DATE(YEAR(DebAmort),MONTH(DebAmort)+1+(H327-1)*Imois,0)),DATE(YEAR(DebAmort),MONTH(DebAmort),Jour1+(H327-1)*Ijour)))</f>
        <v/>
      </c>
      <c r="L327" s="147">
        <f t="shared" si="5"/>
        <v>0</v>
      </c>
      <c r="M327" s="135">
        <f>IF(H327&lt;=NoEchMaxi,ROUND(L327*R327,NbDeci),0)</f>
        <v>0</v>
      </c>
      <c r="N327" s="134">
        <f>IF(OR(H327&lt;=Différé,H327&gt;NoEchMaxi),IF(DiffTotal,-M327,0),IF(H327&gt;=NoEchRemb,L327,IF(S327-(M327*EchFIXE)&gt;L327-2,L327,S327-(M327*EchFIXE))))+C327</f>
        <v>0</v>
      </c>
      <c r="O327" s="136">
        <f>IF(OR(L327=0,H327&gt;NoEchMaxi),0,ROUND(FraisF+FraisV*L327,NbDeci))+F327</f>
        <v>0</v>
      </c>
      <c r="P327" s="148">
        <f t="shared" si="3"/>
        <v>0</v>
      </c>
      <c r="Q327" s="1"/>
      <c r="R327" s="138">
        <f>IF(B327&gt;0,IF(TauxActuariel,((B327+1)^(1/NbEchAn))-1,B327/NbEchAn),R326)</f>
        <v>0.04</v>
      </c>
      <c r="S327" s="139">
        <f>IF(E327&gt;0,E327,IF(D327&gt;0,IF(AND(EchFIXE,R327&gt;0),ROUND((L327-C327)*R327/(1-((1+R327)^-D327)),NbDeci),ROUND(L327/D327,NbDeci)),S326))</f>
        <v>6664</v>
      </c>
      <c r="T327" s="1"/>
      <c r="U327" s="1"/>
      <c r="V327" s="1"/>
      <c r="W327" s="1"/>
      <c r="X327" s="1"/>
      <c r="Y327" s="1"/>
      <c r="Z327" s="1"/>
      <c r="AA327" s="1"/>
    </row>
    <row r="328" ht="12.75" customHeight="1">
      <c r="A328" s="1"/>
      <c r="B328" s="140"/>
      <c r="C328" s="141"/>
      <c r="D328" s="142"/>
      <c r="E328" s="143"/>
      <c r="F328" s="144"/>
      <c r="G328" s="1"/>
      <c r="H328" s="131" t="str">
        <f t="shared" si="4"/>
        <v/>
      </c>
      <c r="I328" s="132" t="str">
        <f>IF(L328&gt;0,NbEch+Différé+1-H328,"")</f>
        <v/>
      </c>
      <c r="J328" s="145" t="str">
        <f t="shared" si="2"/>
        <v/>
      </c>
      <c r="K328" s="146" t="str">
        <f>IF(L328=0,"",IF(Ijour=0,MIN(DATE(YEAR(DebAmort),MONTH(DebAmort)+MoisD+(H328-1)*Imois,Jour2),DATE(YEAR(DebAmort),MONTH(DebAmort)+MoisD+1+(H328-1)*Imois,0)),DATE(YEAR(DebAmort),MONTH(DebAmort),Jour1+(H328-1)*Ijour)))</f>
        <v/>
      </c>
      <c r="L328" s="147">
        <f t="shared" si="5"/>
        <v>0</v>
      </c>
      <c r="M328" s="135">
        <f>IF(H328&lt;=NoEchMaxi,ROUND(L328*R328,NbDeci),0)</f>
        <v>0</v>
      </c>
      <c r="N328" s="134">
        <f>IF(OR(H328&lt;=Différé,H328&gt;NoEchMaxi),IF(DiffTotal,-M328,0),IF(H328&gt;=NoEchRemb,L328,IF(S328-(M328*EchFIXE)&gt;L328-2,L328,S328-(M328*EchFIXE))))+C328</f>
        <v>0</v>
      </c>
      <c r="O328" s="136">
        <f>IF(OR(L328=0,H328&gt;NoEchMaxi),0,ROUND(FraisF+FraisV*L328,NbDeci))+F328</f>
        <v>0</v>
      </c>
      <c r="P328" s="148">
        <f t="shared" si="3"/>
        <v>0</v>
      </c>
      <c r="Q328" s="1"/>
      <c r="R328" s="138">
        <f>IF(B328&gt;0,IF(TauxActuariel,((B328+1)^(1/NbEchAn))-1,B328/NbEchAn),R327)</f>
        <v>0.04</v>
      </c>
      <c r="S328" s="139">
        <f>IF(E328&gt;0,E328,IF(D328&gt;0,IF(AND(EchFIXE,R328&gt;0),ROUND((L328-C328)*R328/(1-((1+R328)^-D328)),NbDeci),ROUND(L328/D328,NbDeci)),S327))</f>
        <v>6664</v>
      </c>
      <c r="T328" s="1"/>
      <c r="U328" s="1"/>
      <c r="V328" s="1"/>
      <c r="W328" s="1"/>
      <c r="X328" s="1"/>
      <c r="Y328" s="1"/>
      <c r="Z328" s="1"/>
      <c r="AA328" s="1"/>
    </row>
    <row r="329" ht="12.75" customHeight="1">
      <c r="A329" s="1"/>
      <c r="B329" s="140"/>
      <c r="C329" s="141"/>
      <c r="D329" s="142"/>
      <c r="E329" s="143"/>
      <c r="F329" s="144"/>
      <c r="G329" s="1"/>
      <c r="H329" s="131" t="str">
        <f t="shared" si="4"/>
        <v/>
      </c>
      <c r="I329" s="132" t="str">
        <f>IF(L329&gt;0,NbEch+Différé+1-H329,"")</f>
        <v/>
      </c>
      <c r="J329" s="145" t="str">
        <f t="shared" si="2"/>
        <v/>
      </c>
      <c r="K329" s="146" t="str">
        <f>IF(L329=0,"",IF(Ijour=0,MIN(DATE(YEAR(DebAmort),MONTH(DebAmort)+(H329-1)*Imois,Jour1),DATE(YEAR(DebAmort),MONTH(DebAmort)+1+(H329-1)*Imois,0)),DATE(YEAR(DebAmort),MONTH(DebAmort),Jour1+(H329-1)*Ijour)))</f>
        <v/>
      </c>
      <c r="L329" s="147">
        <f t="shared" si="5"/>
        <v>0</v>
      </c>
      <c r="M329" s="135">
        <f>IF(H329&lt;=NoEchMaxi,ROUND(L329*R329,NbDeci),0)</f>
        <v>0</v>
      </c>
      <c r="N329" s="134">
        <f>IF(OR(H329&lt;=Différé,H329&gt;NoEchMaxi),IF(DiffTotal,-M329,0),IF(H329&gt;=NoEchRemb,L329,IF(S329-(M329*EchFIXE)&gt;L329-2,L329,S329-(M329*EchFIXE))))+C329</f>
        <v>0</v>
      </c>
      <c r="O329" s="136">
        <f>IF(OR(L329=0,H329&gt;NoEchMaxi),0,ROUND(FraisF+FraisV*L329,NbDeci))+F329</f>
        <v>0</v>
      </c>
      <c r="P329" s="148">
        <f t="shared" si="3"/>
        <v>0</v>
      </c>
      <c r="Q329" s="1"/>
      <c r="R329" s="138">
        <f>IF(B329&gt;0,IF(TauxActuariel,((B329+1)^(1/NbEchAn))-1,B329/NbEchAn),R328)</f>
        <v>0.04</v>
      </c>
      <c r="S329" s="139">
        <f>IF(E329&gt;0,E329,IF(D329&gt;0,IF(AND(EchFIXE,R329&gt;0),ROUND((L329-C329)*R329/(1-((1+R329)^-D329)),NbDeci),ROUND(L329/D329,NbDeci)),S328))</f>
        <v>6664</v>
      </c>
      <c r="T329" s="1"/>
      <c r="U329" s="1"/>
      <c r="V329" s="1"/>
      <c r="W329" s="1"/>
      <c r="X329" s="1"/>
      <c r="Y329" s="1"/>
      <c r="Z329" s="1"/>
      <c r="AA329" s="1"/>
    </row>
    <row r="330" ht="12.75" customHeight="1">
      <c r="A330" s="1"/>
      <c r="B330" s="140"/>
      <c r="C330" s="141"/>
      <c r="D330" s="142"/>
      <c r="E330" s="143"/>
      <c r="F330" s="144"/>
      <c r="G330" s="1"/>
      <c r="H330" s="131" t="str">
        <f t="shared" si="4"/>
        <v/>
      </c>
      <c r="I330" s="132" t="str">
        <f>IF(L330&gt;0,NbEch+Différé+1-H330,"")</f>
        <v/>
      </c>
      <c r="J330" s="145" t="str">
        <f t="shared" si="2"/>
        <v/>
      </c>
      <c r="K330" s="146" t="str">
        <f>IF(L330=0,"",IF(Ijour=0,MIN(DATE(YEAR(DebAmort),MONTH(DebAmort)+MoisD+(H330-1)*Imois,Jour2),DATE(YEAR(DebAmort),MONTH(DebAmort)+MoisD+1+(H330-1)*Imois,0)),DATE(YEAR(DebAmort),MONTH(DebAmort),Jour1+(H330-1)*Ijour)))</f>
        <v/>
      </c>
      <c r="L330" s="147">
        <f t="shared" si="5"/>
        <v>0</v>
      </c>
      <c r="M330" s="135">
        <f>IF(H330&lt;=NoEchMaxi,ROUND(L330*R330,NbDeci),0)</f>
        <v>0</v>
      </c>
      <c r="N330" s="134">
        <f>IF(OR(H330&lt;=Différé,H330&gt;NoEchMaxi),IF(DiffTotal,-M330,0),IF(H330&gt;=NoEchRemb,L330,IF(S330-(M330*EchFIXE)&gt;L330-2,L330,S330-(M330*EchFIXE))))+C330</f>
        <v>0</v>
      </c>
      <c r="O330" s="136">
        <f>IF(OR(L330=0,H330&gt;NoEchMaxi),0,ROUND(FraisF+FraisV*L330,NbDeci))+F330</f>
        <v>0</v>
      </c>
      <c r="P330" s="148">
        <f t="shared" si="3"/>
        <v>0</v>
      </c>
      <c r="Q330" s="1"/>
      <c r="R330" s="138">
        <f>IF(B330&gt;0,IF(TauxActuariel,((B330+1)^(1/NbEchAn))-1,B330/NbEchAn),R329)</f>
        <v>0.04</v>
      </c>
      <c r="S330" s="139">
        <f>IF(E330&gt;0,E330,IF(D330&gt;0,IF(AND(EchFIXE,R330&gt;0),ROUND((L330-C330)*R330/(1-((1+R330)^-D330)),NbDeci),ROUND(L330/D330,NbDeci)),S329))</f>
        <v>6664</v>
      </c>
      <c r="T330" s="1"/>
      <c r="U330" s="1"/>
      <c r="V330" s="1"/>
      <c r="W330" s="1"/>
      <c r="X330" s="1"/>
      <c r="Y330" s="1"/>
      <c r="Z330" s="1"/>
      <c r="AA330" s="1"/>
    </row>
    <row r="331" ht="12.75" customHeight="1">
      <c r="A331" s="1"/>
      <c r="B331" s="140"/>
      <c r="C331" s="141"/>
      <c r="D331" s="142"/>
      <c r="E331" s="143"/>
      <c r="F331" s="144"/>
      <c r="G331" s="1"/>
      <c r="H331" s="131" t="str">
        <f t="shared" si="4"/>
        <v/>
      </c>
      <c r="I331" s="132" t="str">
        <f>IF(L331&gt;0,NbEch+Différé+1-H331,"")</f>
        <v/>
      </c>
      <c r="J331" s="145" t="str">
        <f t="shared" si="2"/>
        <v/>
      </c>
      <c r="K331" s="146" t="str">
        <f>IF(L331=0,"",IF(Ijour=0,MIN(DATE(YEAR(DebAmort),MONTH(DebAmort)+(H331-1)*Imois,Jour1),DATE(YEAR(DebAmort),MONTH(DebAmort)+1+(H331-1)*Imois,0)),DATE(YEAR(DebAmort),MONTH(DebAmort),Jour1+(H331-1)*Ijour)))</f>
        <v/>
      </c>
      <c r="L331" s="147">
        <f t="shared" si="5"/>
        <v>0</v>
      </c>
      <c r="M331" s="135">
        <f>IF(H331&lt;=NoEchMaxi,ROUND(L331*R331,NbDeci),0)</f>
        <v>0</v>
      </c>
      <c r="N331" s="134">
        <f>IF(OR(H331&lt;=Différé,H331&gt;NoEchMaxi),IF(DiffTotal,-M331,0),IF(H331&gt;=NoEchRemb,L331,IF(S331-(M331*EchFIXE)&gt;L331-2,L331,S331-(M331*EchFIXE))))+C331</f>
        <v>0</v>
      </c>
      <c r="O331" s="136">
        <f>IF(OR(L331=0,H331&gt;NoEchMaxi),0,ROUND(FraisF+FraisV*L331,NbDeci))+F331</f>
        <v>0</v>
      </c>
      <c r="P331" s="148">
        <f t="shared" si="3"/>
        <v>0</v>
      </c>
      <c r="Q331" s="1"/>
      <c r="R331" s="138">
        <f>IF(B331&gt;0,IF(TauxActuariel,((B331+1)^(1/NbEchAn))-1,B331/NbEchAn),R330)</f>
        <v>0.04</v>
      </c>
      <c r="S331" s="139">
        <f>IF(E331&gt;0,E331,IF(D331&gt;0,IF(AND(EchFIXE,R331&gt;0),ROUND((L331-C331)*R331/(1-((1+R331)^-D331)),NbDeci),ROUND(L331/D331,NbDeci)),S330))</f>
        <v>6664</v>
      </c>
      <c r="T331" s="1"/>
      <c r="U331" s="1"/>
      <c r="V331" s="1"/>
      <c r="W331" s="1"/>
      <c r="X331" s="1"/>
      <c r="Y331" s="1"/>
      <c r="Z331" s="1"/>
      <c r="AA331" s="1"/>
    </row>
    <row r="332" ht="12.75" customHeight="1">
      <c r="A332" s="1"/>
      <c r="B332" s="140"/>
      <c r="C332" s="141"/>
      <c r="D332" s="142"/>
      <c r="E332" s="143"/>
      <c r="F332" s="144"/>
      <c r="G332" s="1"/>
      <c r="H332" s="131" t="str">
        <f t="shared" si="4"/>
        <v/>
      </c>
      <c r="I332" s="132" t="str">
        <f>IF(L332&gt;0,NbEch+Différé+1-H332,"")</f>
        <v/>
      </c>
      <c r="J332" s="145" t="str">
        <f t="shared" si="2"/>
        <v/>
      </c>
      <c r="K332" s="146" t="str">
        <f>IF(L332=0,"",IF(Ijour=0,MIN(DATE(YEAR(DebAmort),MONTH(DebAmort)+MoisD+(H332-1)*Imois,Jour2),DATE(YEAR(DebAmort),MONTH(DebAmort)+MoisD+1+(H332-1)*Imois,0)),DATE(YEAR(DebAmort),MONTH(DebAmort),Jour1+(H332-1)*Ijour)))</f>
        <v/>
      </c>
      <c r="L332" s="147">
        <f t="shared" si="5"/>
        <v>0</v>
      </c>
      <c r="M332" s="135">
        <f>IF(H332&lt;=NoEchMaxi,ROUND(L332*R332,NbDeci),0)</f>
        <v>0</v>
      </c>
      <c r="N332" s="134">
        <f>IF(OR(H332&lt;=Différé,H332&gt;NoEchMaxi),IF(DiffTotal,-M332,0),IF(H332&gt;=NoEchRemb,L332,IF(S332-(M332*EchFIXE)&gt;L332-2,L332,S332-(M332*EchFIXE))))+C332</f>
        <v>0</v>
      </c>
      <c r="O332" s="136">
        <f>IF(OR(L332=0,H332&gt;NoEchMaxi),0,ROUND(FraisF+FraisV*L332,NbDeci))+F332</f>
        <v>0</v>
      </c>
      <c r="P332" s="148">
        <f t="shared" si="3"/>
        <v>0</v>
      </c>
      <c r="Q332" s="1"/>
      <c r="R332" s="138">
        <f>IF(B332&gt;0,IF(TauxActuariel,((B332+1)^(1/NbEchAn))-1,B332/NbEchAn),R331)</f>
        <v>0.04</v>
      </c>
      <c r="S332" s="139">
        <f>IF(E332&gt;0,E332,IF(D332&gt;0,IF(AND(EchFIXE,R332&gt;0),ROUND((L332-C332)*R332/(1-((1+R332)^-D332)),NbDeci),ROUND(L332/D332,NbDeci)),S331))</f>
        <v>6664</v>
      </c>
      <c r="T332" s="1"/>
      <c r="U332" s="1"/>
      <c r="V332" s="1"/>
      <c r="W332" s="1"/>
      <c r="X332" s="1"/>
      <c r="Y332" s="1"/>
      <c r="Z332" s="1"/>
      <c r="AA332" s="1"/>
    </row>
    <row r="333" ht="12.75" customHeight="1">
      <c r="A333" s="1"/>
      <c r="B333" s="140"/>
      <c r="C333" s="141"/>
      <c r="D333" s="142"/>
      <c r="E333" s="143"/>
      <c r="F333" s="144"/>
      <c r="G333" s="1"/>
      <c r="H333" s="131" t="str">
        <f t="shared" si="4"/>
        <v/>
      </c>
      <c r="I333" s="132" t="str">
        <f>IF(L333&gt;0,NbEch+Différé+1-H333,"")</f>
        <v/>
      </c>
      <c r="J333" s="145" t="str">
        <f t="shared" si="2"/>
        <v/>
      </c>
      <c r="K333" s="146" t="str">
        <f>IF(L333=0,"",IF(Ijour=0,MIN(DATE(YEAR(DebAmort),MONTH(DebAmort)+(H333-1)*Imois,Jour1),DATE(YEAR(DebAmort),MONTH(DebAmort)+1+(H333-1)*Imois,0)),DATE(YEAR(DebAmort),MONTH(DebAmort),Jour1+(H333-1)*Ijour)))</f>
        <v/>
      </c>
      <c r="L333" s="147">
        <f t="shared" si="5"/>
        <v>0</v>
      </c>
      <c r="M333" s="135">
        <f>IF(H333&lt;=NoEchMaxi,ROUND(L333*R333,NbDeci),0)</f>
        <v>0</v>
      </c>
      <c r="N333" s="134">
        <f>IF(OR(H333&lt;=Différé,H333&gt;NoEchMaxi),IF(DiffTotal,-M333,0),IF(H333&gt;=NoEchRemb,L333,IF(S333-(M333*EchFIXE)&gt;L333-2,L333,S333-(M333*EchFIXE))))+C333</f>
        <v>0</v>
      </c>
      <c r="O333" s="136">
        <f>IF(OR(L333=0,H333&gt;NoEchMaxi),0,ROUND(FraisF+FraisV*L333,NbDeci))+F333</f>
        <v>0</v>
      </c>
      <c r="P333" s="148">
        <f t="shared" si="3"/>
        <v>0</v>
      </c>
      <c r="Q333" s="1"/>
      <c r="R333" s="138">
        <f>IF(B333&gt;0,IF(TauxActuariel,((B333+1)^(1/NbEchAn))-1,B333/NbEchAn),R332)</f>
        <v>0.04</v>
      </c>
      <c r="S333" s="139">
        <f>IF(E333&gt;0,E333,IF(D333&gt;0,IF(AND(EchFIXE,R333&gt;0),ROUND((L333-C333)*R333/(1-((1+R333)^-D333)),NbDeci),ROUND(L333/D333,NbDeci)),S332))</f>
        <v>6664</v>
      </c>
      <c r="T333" s="1"/>
      <c r="U333" s="1"/>
      <c r="V333" s="1"/>
      <c r="W333" s="1"/>
      <c r="X333" s="1"/>
      <c r="Y333" s="1"/>
      <c r="Z333" s="1"/>
      <c r="AA333" s="1"/>
    </row>
    <row r="334" ht="12.75" customHeight="1">
      <c r="A334" s="1"/>
      <c r="B334" s="140"/>
      <c r="C334" s="141"/>
      <c r="D334" s="142"/>
      <c r="E334" s="143"/>
      <c r="F334" s="144"/>
      <c r="G334" s="1"/>
      <c r="H334" s="131" t="str">
        <f t="shared" si="4"/>
        <v/>
      </c>
      <c r="I334" s="132" t="str">
        <f>IF(L334&gt;0,NbEch+Différé+1-H334,"")</f>
        <v/>
      </c>
      <c r="J334" s="145" t="str">
        <f t="shared" si="2"/>
        <v/>
      </c>
      <c r="K334" s="146" t="str">
        <f>IF(L334=0,"",IF(Ijour=0,MIN(DATE(YEAR(DebAmort),MONTH(DebAmort)+MoisD+(H334-1)*Imois,Jour2),DATE(YEAR(DebAmort),MONTH(DebAmort)+MoisD+1+(H334-1)*Imois,0)),DATE(YEAR(DebAmort),MONTH(DebAmort),Jour1+(H334-1)*Ijour)))</f>
        <v/>
      </c>
      <c r="L334" s="147">
        <f t="shared" si="5"/>
        <v>0</v>
      </c>
      <c r="M334" s="135">
        <f>IF(H334&lt;=NoEchMaxi,ROUND(L334*R334,NbDeci),0)</f>
        <v>0</v>
      </c>
      <c r="N334" s="134">
        <f>IF(OR(H334&lt;=Différé,H334&gt;NoEchMaxi),IF(DiffTotal,-M334,0),IF(H334&gt;=NoEchRemb,L334,IF(S334-(M334*EchFIXE)&gt;L334-2,L334,S334-(M334*EchFIXE))))+C334</f>
        <v>0</v>
      </c>
      <c r="O334" s="136">
        <f>IF(OR(L334=0,H334&gt;NoEchMaxi),0,ROUND(FraisF+FraisV*L334,NbDeci))+F334</f>
        <v>0</v>
      </c>
      <c r="P334" s="148">
        <f t="shared" si="3"/>
        <v>0</v>
      </c>
      <c r="Q334" s="1"/>
      <c r="R334" s="138">
        <f>IF(B334&gt;0,IF(TauxActuariel,((B334+1)^(1/NbEchAn))-1,B334/NbEchAn),R333)</f>
        <v>0.04</v>
      </c>
      <c r="S334" s="139">
        <f>IF(E334&gt;0,E334,IF(D334&gt;0,IF(AND(EchFIXE,R334&gt;0),ROUND((L334-C334)*R334/(1-((1+R334)^-D334)),NbDeci),ROUND(L334/D334,NbDeci)),S333))</f>
        <v>6664</v>
      </c>
      <c r="T334" s="1"/>
      <c r="U334" s="1"/>
      <c r="V334" s="1"/>
      <c r="W334" s="1"/>
      <c r="X334" s="1"/>
      <c r="Y334" s="1"/>
      <c r="Z334" s="1"/>
      <c r="AA334" s="1"/>
    </row>
    <row r="335" ht="12.75" customHeight="1">
      <c r="A335" s="1"/>
      <c r="B335" s="140"/>
      <c r="C335" s="141"/>
      <c r="D335" s="142"/>
      <c r="E335" s="143"/>
      <c r="F335" s="144"/>
      <c r="G335" s="1"/>
      <c r="H335" s="131" t="str">
        <f t="shared" si="4"/>
        <v/>
      </c>
      <c r="I335" s="132" t="str">
        <f>IF(L335&gt;0,NbEch+Différé+1-H335,"")</f>
        <v/>
      </c>
      <c r="J335" s="145" t="str">
        <f t="shared" si="2"/>
        <v/>
      </c>
      <c r="K335" s="146" t="str">
        <f>IF(L335=0,"",IF(Ijour=0,MIN(DATE(YEAR(DebAmort),MONTH(DebAmort)+(H335-1)*Imois,Jour1),DATE(YEAR(DebAmort),MONTH(DebAmort)+1+(H335-1)*Imois,0)),DATE(YEAR(DebAmort),MONTH(DebAmort),Jour1+(H335-1)*Ijour)))</f>
        <v/>
      </c>
      <c r="L335" s="147">
        <f t="shared" si="5"/>
        <v>0</v>
      </c>
      <c r="M335" s="135">
        <f>IF(H335&lt;=NoEchMaxi,ROUND(L335*R335,NbDeci),0)</f>
        <v>0</v>
      </c>
      <c r="N335" s="134">
        <f>IF(OR(H335&lt;=Différé,H335&gt;NoEchMaxi),IF(DiffTotal,-M335,0),IF(H335&gt;=NoEchRemb,L335,IF(S335-(M335*EchFIXE)&gt;L335-2,L335,S335-(M335*EchFIXE))))+C335</f>
        <v>0</v>
      </c>
      <c r="O335" s="136">
        <f>IF(OR(L335=0,H335&gt;NoEchMaxi),0,ROUND(FraisF+FraisV*L335,NbDeci))+F335</f>
        <v>0</v>
      </c>
      <c r="P335" s="148">
        <f t="shared" si="3"/>
        <v>0</v>
      </c>
      <c r="Q335" s="1"/>
      <c r="R335" s="138">
        <f>IF(B335&gt;0,IF(TauxActuariel,((B335+1)^(1/NbEchAn))-1,B335/NbEchAn),R334)</f>
        <v>0.04</v>
      </c>
      <c r="S335" s="139">
        <f>IF(E335&gt;0,E335,IF(D335&gt;0,IF(AND(EchFIXE,R335&gt;0),ROUND((L335-C335)*R335/(1-((1+R335)^-D335)),NbDeci),ROUND(L335/D335,NbDeci)),S334))</f>
        <v>6664</v>
      </c>
      <c r="T335" s="1"/>
      <c r="U335" s="1"/>
      <c r="V335" s="1"/>
      <c r="W335" s="1"/>
      <c r="X335" s="1"/>
      <c r="Y335" s="1"/>
      <c r="Z335" s="1"/>
      <c r="AA335" s="1"/>
    </row>
    <row r="336" ht="12.75" customHeight="1">
      <c r="A336" s="1"/>
      <c r="B336" s="140"/>
      <c r="C336" s="141"/>
      <c r="D336" s="142"/>
      <c r="E336" s="143"/>
      <c r="F336" s="144"/>
      <c r="G336" s="1"/>
      <c r="H336" s="131" t="str">
        <f t="shared" si="4"/>
        <v/>
      </c>
      <c r="I336" s="132" t="str">
        <f>IF(L336&gt;0,NbEch+Différé+1-H336,"")</f>
        <v/>
      </c>
      <c r="J336" s="145" t="str">
        <f t="shared" si="2"/>
        <v/>
      </c>
      <c r="K336" s="146" t="str">
        <f>IF(L336=0,"",IF(Ijour=0,MIN(DATE(YEAR(DebAmort),MONTH(DebAmort)+MoisD+(H336-1)*Imois,Jour2),DATE(YEAR(DebAmort),MONTH(DebAmort)+MoisD+1+(H336-1)*Imois,0)),DATE(YEAR(DebAmort),MONTH(DebAmort),Jour1+(H336-1)*Ijour)))</f>
        <v/>
      </c>
      <c r="L336" s="147">
        <f t="shared" si="5"/>
        <v>0</v>
      </c>
      <c r="M336" s="135">
        <f>IF(H336&lt;=NoEchMaxi,ROUND(L336*R336,NbDeci),0)</f>
        <v>0</v>
      </c>
      <c r="N336" s="134">
        <f>IF(OR(H336&lt;=Différé,H336&gt;NoEchMaxi),IF(DiffTotal,-M336,0),IF(H336&gt;=NoEchRemb,L336,IF(S336-(M336*EchFIXE)&gt;L336-2,L336,S336-(M336*EchFIXE))))+C336</f>
        <v>0</v>
      </c>
      <c r="O336" s="136">
        <f>IF(OR(L336=0,H336&gt;NoEchMaxi),0,ROUND(FraisF+FraisV*L336,NbDeci))+F336</f>
        <v>0</v>
      </c>
      <c r="P336" s="148">
        <f t="shared" si="3"/>
        <v>0</v>
      </c>
      <c r="Q336" s="1"/>
      <c r="R336" s="138">
        <f>IF(B336&gt;0,IF(TauxActuariel,((B336+1)^(1/NbEchAn))-1,B336/NbEchAn),R335)</f>
        <v>0.04</v>
      </c>
      <c r="S336" s="139">
        <f>IF(E336&gt;0,E336,IF(D336&gt;0,IF(AND(EchFIXE,R336&gt;0),ROUND((L336-C336)*R336/(1-((1+R336)^-D336)),NbDeci),ROUND(L336/D336,NbDeci)),S335))</f>
        <v>6664</v>
      </c>
      <c r="T336" s="1"/>
      <c r="U336" s="1"/>
      <c r="V336" s="1"/>
      <c r="W336" s="1"/>
      <c r="X336" s="1"/>
      <c r="Y336" s="1"/>
      <c r="Z336" s="1"/>
      <c r="AA336" s="1"/>
    </row>
    <row r="337" ht="12.75" customHeight="1">
      <c r="A337" s="1"/>
      <c r="B337" s="140"/>
      <c r="C337" s="141"/>
      <c r="D337" s="142"/>
      <c r="E337" s="143"/>
      <c r="F337" s="144"/>
      <c r="G337" s="1"/>
      <c r="H337" s="131" t="str">
        <f t="shared" si="4"/>
        <v/>
      </c>
      <c r="I337" s="132" t="str">
        <f>IF(L337&gt;0,NbEch+Différé+1-H337,"")</f>
        <v/>
      </c>
      <c r="J337" s="145" t="str">
        <f t="shared" si="2"/>
        <v/>
      </c>
      <c r="K337" s="146" t="str">
        <f>IF(L337=0,"",IF(Ijour=0,MIN(DATE(YEAR(DebAmort),MONTH(DebAmort)+(H337-1)*Imois,Jour1),DATE(YEAR(DebAmort),MONTH(DebAmort)+1+(H337-1)*Imois,0)),DATE(YEAR(DebAmort),MONTH(DebAmort),Jour1+(H337-1)*Ijour)))</f>
        <v/>
      </c>
      <c r="L337" s="147">
        <f t="shared" si="5"/>
        <v>0</v>
      </c>
      <c r="M337" s="135">
        <f>IF(H337&lt;=NoEchMaxi,ROUND(L337*R337,NbDeci),0)</f>
        <v>0</v>
      </c>
      <c r="N337" s="134">
        <f>IF(OR(H337&lt;=Différé,H337&gt;NoEchMaxi),IF(DiffTotal,-M337,0),IF(H337&gt;=NoEchRemb,L337,IF(S337-(M337*EchFIXE)&gt;L337-2,L337,S337-(M337*EchFIXE))))+C337</f>
        <v>0</v>
      </c>
      <c r="O337" s="136">
        <f>IF(OR(L337=0,H337&gt;NoEchMaxi),0,ROUND(FraisF+FraisV*L337,NbDeci))+F337</f>
        <v>0</v>
      </c>
      <c r="P337" s="148">
        <f t="shared" si="3"/>
        <v>0</v>
      </c>
      <c r="Q337" s="1"/>
      <c r="R337" s="138">
        <f>IF(B337&gt;0,IF(TauxActuariel,((B337+1)^(1/NbEchAn))-1,B337/NbEchAn),R336)</f>
        <v>0.04</v>
      </c>
      <c r="S337" s="139">
        <f>IF(E337&gt;0,E337,IF(D337&gt;0,IF(AND(EchFIXE,R337&gt;0),ROUND((L337-C337)*R337/(1-((1+R337)^-D337)),NbDeci),ROUND(L337/D337,NbDeci)),S336))</f>
        <v>6664</v>
      </c>
      <c r="T337" s="1"/>
      <c r="U337" s="1"/>
      <c r="V337" s="1"/>
      <c r="W337" s="1"/>
      <c r="X337" s="1"/>
      <c r="Y337" s="1"/>
      <c r="Z337" s="1"/>
      <c r="AA337" s="1"/>
    </row>
    <row r="338" ht="12.75" customHeight="1">
      <c r="A338" s="1"/>
      <c r="B338" s="140"/>
      <c r="C338" s="141"/>
      <c r="D338" s="142"/>
      <c r="E338" s="143"/>
      <c r="F338" s="144"/>
      <c r="G338" s="1"/>
      <c r="H338" s="131" t="str">
        <f t="shared" si="4"/>
        <v/>
      </c>
      <c r="I338" s="132" t="str">
        <f>IF(L338&gt;0,NbEch+Différé+1-H338,"")</f>
        <v/>
      </c>
      <c r="J338" s="145" t="str">
        <f t="shared" si="2"/>
        <v/>
      </c>
      <c r="K338" s="146" t="str">
        <f>IF(L338=0,"",IF(Ijour=0,MIN(DATE(YEAR(DebAmort),MONTH(DebAmort)+MoisD+(H338-1)*Imois,Jour2),DATE(YEAR(DebAmort),MONTH(DebAmort)+MoisD+1+(H338-1)*Imois,0)),DATE(YEAR(DebAmort),MONTH(DebAmort),Jour1+(H338-1)*Ijour)))</f>
        <v/>
      </c>
      <c r="L338" s="147">
        <f t="shared" si="5"/>
        <v>0</v>
      </c>
      <c r="M338" s="135">
        <f>IF(H338&lt;=NoEchMaxi,ROUND(L338*R338,NbDeci),0)</f>
        <v>0</v>
      </c>
      <c r="N338" s="134">
        <f>IF(OR(H338&lt;=Différé,H338&gt;NoEchMaxi),IF(DiffTotal,-M338,0),IF(H338&gt;=NoEchRemb,L338,IF(S338-(M338*EchFIXE)&gt;L338-2,L338,S338-(M338*EchFIXE))))+C338</f>
        <v>0</v>
      </c>
      <c r="O338" s="136">
        <f>IF(OR(L338=0,H338&gt;NoEchMaxi),0,ROUND(FraisF+FraisV*L338,NbDeci))+F338</f>
        <v>0</v>
      </c>
      <c r="P338" s="148">
        <f t="shared" si="3"/>
        <v>0</v>
      </c>
      <c r="Q338" s="1"/>
      <c r="R338" s="138">
        <f>IF(B338&gt;0,IF(TauxActuariel,((B338+1)^(1/NbEchAn))-1,B338/NbEchAn),R337)</f>
        <v>0.04</v>
      </c>
      <c r="S338" s="139">
        <f>IF(E338&gt;0,E338,IF(D338&gt;0,IF(AND(EchFIXE,R338&gt;0),ROUND((L338-C338)*R338/(1-((1+R338)^-D338)),NbDeci),ROUND(L338/D338,NbDeci)),S337))</f>
        <v>6664</v>
      </c>
      <c r="T338" s="1"/>
      <c r="U338" s="1"/>
      <c r="V338" s="1"/>
      <c r="W338" s="1"/>
      <c r="X338" s="1"/>
      <c r="Y338" s="1"/>
      <c r="Z338" s="1"/>
      <c r="AA338" s="1"/>
    </row>
    <row r="339" ht="12.75" customHeight="1">
      <c r="A339" s="1"/>
      <c r="B339" s="140"/>
      <c r="C339" s="141"/>
      <c r="D339" s="142"/>
      <c r="E339" s="143"/>
      <c r="F339" s="144"/>
      <c r="G339" s="1"/>
      <c r="H339" s="131" t="str">
        <f t="shared" si="4"/>
        <v/>
      </c>
      <c r="I339" s="132" t="str">
        <f>IF(L339&gt;0,NbEch+Différé+1-H339,"")</f>
        <v/>
      </c>
      <c r="J339" s="145" t="str">
        <f t="shared" si="2"/>
        <v/>
      </c>
      <c r="K339" s="146" t="str">
        <f>IF(L339=0,"",IF(Ijour=0,MIN(DATE(YEAR(DebAmort),MONTH(DebAmort)+(H339-1)*Imois,Jour1),DATE(YEAR(DebAmort),MONTH(DebAmort)+1+(H339-1)*Imois,0)),DATE(YEAR(DebAmort),MONTH(DebAmort),Jour1+(H339-1)*Ijour)))</f>
        <v/>
      </c>
      <c r="L339" s="147">
        <f t="shared" si="5"/>
        <v>0</v>
      </c>
      <c r="M339" s="135">
        <f>IF(H339&lt;=NoEchMaxi,ROUND(L339*R339,NbDeci),0)</f>
        <v>0</v>
      </c>
      <c r="N339" s="134">
        <f>IF(OR(H339&lt;=Différé,H339&gt;NoEchMaxi),IF(DiffTotal,-M339,0),IF(H339&gt;=NoEchRemb,L339,IF(S339-(M339*EchFIXE)&gt;L339-2,L339,S339-(M339*EchFIXE))))+C339</f>
        <v>0</v>
      </c>
      <c r="O339" s="136">
        <f>IF(OR(L339=0,H339&gt;NoEchMaxi),0,ROUND(FraisF+FraisV*L339,NbDeci))+F339</f>
        <v>0</v>
      </c>
      <c r="P339" s="148">
        <f t="shared" si="3"/>
        <v>0</v>
      </c>
      <c r="Q339" s="1"/>
      <c r="R339" s="138">
        <f>IF(B339&gt;0,IF(TauxActuariel,((B339+1)^(1/NbEchAn))-1,B339/NbEchAn),R338)</f>
        <v>0.04</v>
      </c>
      <c r="S339" s="139">
        <f>IF(E339&gt;0,E339,IF(D339&gt;0,IF(AND(EchFIXE,R339&gt;0),ROUND((L339-C339)*R339/(1-((1+R339)^-D339)),NbDeci),ROUND(L339/D339,NbDeci)),S338))</f>
        <v>6664</v>
      </c>
      <c r="T339" s="1"/>
      <c r="U339" s="1"/>
      <c r="V339" s="1"/>
      <c r="W339" s="1"/>
      <c r="X339" s="1"/>
      <c r="Y339" s="1"/>
      <c r="Z339" s="1"/>
      <c r="AA339" s="1"/>
    </row>
    <row r="340" ht="12.75" customHeight="1">
      <c r="A340" s="1"/>
      <c r="B340" s="140"/>
      <c r="C340" s="141"/>
      <c r="D340" s="142"/>
      <c r="E340" s="143"/>
      <c r="F340" s="144"/>
      <c r="G340" s="1"/>
      <c r="H340" s="131" t="str">
        <f t="shared" si="4"/>
        <v/>
      </c>
      <c r="I340" s="132" t="str">
        <f>IF(L340&gt;0,NbEch+Différé+1-H340,"")</f>
        <v/>
      </c>
      <c r="J340" s="145" t="str">
        <f t="shared" si="2"/>
        <v/>
      </c>
      <c r="K340" s="146" t="str">
        <f>IF(L340=0,"",IF(Ijour=0,MIN(DATE(YEAR(DebAmort),MONTH(DebAmort)+MoisD+(H340-1)*Imois,Jour2),DATE(YEAR(DebAmort),MONTH(DebAmort)+MoisD+1+(H340-1)*Imois,0)),DATE(YEAR(DebAmort),MONTH(DebAmort),Jour1+(H340-1)*Ijour)))</f>
        <v/>
      </c>
      <c r="L340" s="147">
        <f t="shared" si="5"/>
        <v>0</v>
      </c>
      <c r="M340" s="135">
        <f>IF(H340&lt;=NoEchMaxi,ROUND(L340*R340,NbDeci),0)</f>
        <v>0</v>
      </c>
      <c r="N340" s="134">
        <f>IF(OR(H340&lt;=Différé,H340&gt;NoEchMaxi),IF(DiffTotal,-M340,0),IF(H340&gt;=NoEchRemb,L340,IF(S340-(M340*EchFIXE)&gt;L340-2,L340,S340-(M340*EchFIXE))))+C340</f>
        <v>0</v>
      </c>
      <c r="O340" s="136">
        <f>IF(OR(L340=0,H340&gt;NoEchMaxi),0,ROUND(FraisF+FraisV*L340,NbDeci))+F340</f>
        <v>0</v>
      </c>
      <c r="P340" s="148">
        <f t="shared" si="3"/>
        <v>0</v>
      </c>
      <c r="Q340" s="1"/>
      <c r="R340" s="138">
        <f>IF(B340&gt;0,IF(TauxActuariel,((B340+1)^(1/NbEchAn))-1,B340/NbEchAn),R339)</f>
        <v>0.04</v>
      </c>
      <c r="S340" s="139">
        <f>IF(E340&gt;0,E340,IF(D340&gt;0,IF(AND(EchFIXE,R340&gt;0),ROUND((L340-C340)*R340/(1-((1+R340)^-D340)),NbDeci),ROUND(L340/D340,NbDeci)),S339))</f>
        <v>6664</v>
      </c>
      <c r="T340" s="1"/>
      <c r="U340" s="1"/>
      <c r="V340" s="1"/>
      <c r="W340" s="1"/>
      <c r="X340" s="1"/>
      <c r="Y340" s="1"/>
      <c r="Z340" s="1"/>
      <c r="AA340" s="1"/>
    </row>
    <row r="341" ht="12.75" customHeight="1">
      <c r="A341" s="1"/>
      <c r="B341" s="140"/>
      <c r="C341" s="141"/>
      <c r="D341" s="142"/>
      <c r="E341" s="143"/>
      <c r="F341" s="144"/>
      <c r="G341" s="1"/>
      <c r="H341" s="131" t="str">
        <f t="shared" si="4"/>
        <v/>
      </c>
      <c r="I341" s="132" t="str">
        <f>IF(L341&gt;0,NbEch+Différé+1-H341,"")</f>
        <v/>
      </c>
      <c r="J341" s="145" t="str">
        <f t="shared" si="2"/>
        <v/>
      </c>
      <c r="K341" s="146" t="str">
        <f>IF(L341=0,"",IF(Ijour=0,MIN(DATE(YEAR(DebAmort),MONTH(DebAmort)+(H341-1)*Imois,Jour1),DATE(YEAR(DebAmort),MONTH(DebAmort)+1+(H341-1)*Imois,0)),DATE(YEAR(DebAmort),MONTH(DebAmort),Jour1+(H341-1)*Ijour)))</f>
        <v/>
      </c>
      <c r="L341" s="147">
        <f t="shared" si="5"/>
        <v>0</v>
      </c>
      <c r="M341" s="135">
        <f>IF(H341&lt;=NoEchMaxi,ROUND(L341*R341,NbDeci),0)</f>
        <v>0</v>
      </c>
      <c r="N341" s="134">
        <f>IF(OR(H341&lt;=Différé,H341&gt;NoEchMaxi),IF(DiffTotal,-M341,0),IF(H341&gt;=NoEchRemb,L341,IF(S341-(M341*EchFIXE)&gt;L341-2,L341,S341-(M341*EchFIXE))))+C341</f>
        <v>0</v>
      </c>
      <c r="O341" s="136">
        <f>IF(OR(L341=0,H341&gt;NoEchMaxi),0,ROUND(FraisF+FraisV*L341,NbDeci))+F341</f>
        <v>0</v>
      </c>
      <c r="P341" s="148">
        <f t="shared" si="3"/>
        <v>0</v>
      </c>
      <c r="Q341" s="1"/>
      <c r="R341" s="138">
        <f>IF(B341&gt;0,IF(TauxActuariel,((B341+1)^(1/NbEchAn))-1,B341/NbEchAn),R340)</f>
        <v>0.04</v>
      </c>
      <c r="S341" s="139">
        <f>IF(E341&gt;0,E341,IF(D341&gt;0,IF(AND(EchFIXE,R341&gt;0),ROUND((L341-C341)*R341/(1-((1+R341)^-D341)),NbDeci),ROUND(L341/D341,NbDeci)),S340))</f>
        <v>6664</v>
      </c>
      <c r="T341" s="1"/>
      <c r="U341" s="1"/>
      <c r="V341" s="1"/>
      <c r="W341" s="1"/>
      <c r="X341" s="1"/>
      <c r="Y341" s="1"/>
      <c r="Z341" s="1"/>
      <c r="AA341" s="1"/>
    </row>
    <row r="342" ht="12.75" customHeight="1">
      <c r="A342" s="1"/>
      <c r="B342" s="140"/>
      <c r="C342" s="141"/>
      <c r="D342" s="142"/>
      <c r="E342" s="143"/>
      <c r="F342" s="144"/>
      <c r="G342" s="1"/>
      <c r="H342" s="131" t="str">
        <f t="shared" si="4"/>
        <v/>
      </c>
      <c r="I342" s="132" t="str">
        <f>IF(L342&gt;0,NbEch+Différé+1-H342,"")</f>
        <v/>
      </c>
      <c r="J342" s="145" t="str">
        <f t="shared" si="2"/>
        <v/>
      </c>
      <c r="K342" s="146" t="str">
        <f>IF(L342=0,"",IF(Ijour=0,MIN(DATE(YEAR(DebAmort),MONTH(DebAmort)+MoisD+(H342-1)*Imois,Jour2),DATE(YEAR(DebAmort),MONTH(DebAmort)+MoisD+1+(H342-1)*Imois,0)),DATE(YEAR(DebAmort),MONTH(DebAmort),Jour1+(H342-1)*Ijour)))</f>
        <v/>
      </c>
      <c r="L342" s="147">
        <f t="shared" si="5"/>
        <v>0</v>
      </c>
      <c r="M342" s="135">
        <f>IF(H342&lt;=NoEchMaxi,ROUND(L342*R342,NbDeci),0)</f>
        <v>0</v>
      </c>
      <c r="N342" s="134">
        <f>IF(OR(H342&lt;=Différé,H342&gt;NoEchMaxi),IF(DiffTotal,-M342,0),IF(H342&gt;=NoEchRemb,L342,IF(S342-(M342*EchFIXE)&gt;L342-2,L342,S342-(M342*EchFIXE))))+C342</f>
        <v>0</v>
      </c>
      <c r="O342" s="136">
        <f>IF(OR(L342=0,H342&gt;NoEchMaxi),0,ROUND(FraisF+FraisV*L342,NbDeci))+F342</f>
        <v>0</v>
      </c>
      <c r="P342" s="148">
        <f t="shared" si="3"/>
        <v>0</v>
      </c>
      <c r="Q342" s="1"/>
      <c r="R342" s="138">
        <f>IF(B342&gt;0,IF(TauxActuariel,((B342+1)^(1/NbEchAn))-1,B342/NbEchAn),R341)</f>
        <v>0.04</v>
      </c>
      <c r="S342" s="139">
        <f>IF(E342&gt;0,E342,IF(D342&gt;0,IF(AND(EchFIXE,R342&gt;0),ROUND((L342-C342)*R342/(1-((1+R342)^-D342)),NbDeci),ROUND(L342/D342,NbDeci)),S341))</f>
        <v>6664</v>
      </c>
      <c r="T342" s="1"/>
      <c r="U342" s="1"/>
      <c r="V342" s="1"/>
      <c r="W342" s="1"/>
      <c r="X342" s="1"/>
      <c r="Y342" s="1"/>
      <c r="Z342" s="1"/>
      <c r="AA342" s="1"/>
    </row>
    <row r="343" ht="12.75" customHeight="1">
      <c r="A343" s="1"/>
      <c r="B343" s="140"/>
      <c r="C343" s="141"/>
      <c r="D343" s="142"/>
      <c r="E343" s="143"/>
      <c r="F343" s="144"/>
      <c r="G343" s="1"/>
      <c r="H343" s="131" t="str">
        <f t="shared" si="4"/>
        <v/>
      </c>
      <c r="I343" s="132" t="str">
        <f>IF(L343&gt;0,NbEch+Différé+1-H343,"")</f>
        <v/>
      </c>
      <c r="J343" s="145" t="str">
        <f t="shared" si="2"/>
        <v/>
      </c>
      <c r="K343" s="146" t="str">
        <f>IF(L343=0,"",IF(Ijour=0,MIN(DATE(YEAR(DebAmort),MONTH(DebAmort)+(H343-1)*Imois,Jour1),DATE(YEAR(DebAmort),MONTH(DebAmort)+1+(H343-1)*Imois,0)),DATE(YEAR(DebAmort),MONTH(DebAmort),Jour1+(H343-1)*Ijour)))</f>
        <v/>
      </c>
      <c r="L343" s="147">
        <f t="shared" si="5"/>
        <v>0</v>
      </c>
      <c r="M343" s="135">
        <f>IF(H343&lt;=NoEchMaxi,ROUND(L343*R343,NbDeci),0)</f>
        <v>0</v>
      </c>
      <c r="N343" s="134">
        <f>IF(OR(H343&lt;=Différé,H343&gt;NoEchMaxi),IF(DiffTotal,-M343,0),IF(H343&gt;=NoEchRemb,L343,IF(S343-(M343*EchFIXE)&gt;L343-2,L343,S343-(M343*EchFIXE))))+C343</f>
        <v>0</v>
      </c>
      <c r="O343" s="136">
        <f>IF(OR(L343=0,H343&gt;NoEchMaxi),0,ROUND(FraisF+FraisV*L343,NbDeci))+F343</f>
        <v>0</v>
      </c>
      <c r="P343" s="148">
        <f t="shared" si="3"/>
        <v>0</v>
      </c>
      <c r="Q343" s="1"/>
      <c r="R343" s="138">
        <f>IF(B343&gt;0,IF(TauxActuariel,((B343+1)^(1/NbEchAn))-1,B343/NbEchAn),R342)</f>
        <v>0.04</v>
      </c>
      <c r="S343" s="139">
        <f>IF(E343&gt;0,E343,IF(D343&gt;0,IF(AND(EchFIXE,R343&gt;0),ROUND((L343-C343)*R343/(1-((1+R343)^-D343)),NbDeci),ROUND(L343/D343,NbDeci)),S342))</f>
        <v>6664</v>
      </c>
      <c r="T343" s="1"/>
      <c r="U343" s="1"/>
      <c r="V343" s="1"/>
      <c r="W343" s="1"/>
      <c r="X343" s="1"/>
      <c r="Y343" s="1"/>
      <c r="Z343" s="1"/>
      <c r="AA343" s="1"/>
    </row>
    <row r="344" ht="12.75" customHeight="1">
      <c r="A344" s="1"/>
      <c r="B344" s="140"/>
      <c r="C344" s="141"/>
      <c r="D344" s="142"/>
      <c r="E344" s="143"/>
      <c r="F344" s="144"/>
      <c r="G344" s="1"/>
      <c r="H344" s="131" t="str">
        <f t="shared" si="4"/>
        <v/>
      </c>
      <c r="I344" s="132" t="str">
        <f>IF(L344&gt;0,NbEch+Différé+1-H344,"")</f>
        <v/>
      </c>
      <c r="J344" s="145" t="str">
        <f t="shared" si="2"/>
        <v/>
      </c>
      <c r="K344" s="146" t="str">
        <f>IF(L344=0,"",IF(Ijour=0,MIN(DATE(YEAR(DebAmort),MONTH(DebAmort)+MoisD+(H344-1)*Imois,Jour2),DATE(YEAR(DebAmort),MONTH(DebAmort)+MoisD+1+(H344-1)*Imois,0)),DATE(YEAR(DebAmort),MONTH(DebAmort),Jour1+(H344-1)*Ijour)))</f>
        <v/>
      </c>
      <c r="L344" s="147">
        <f t="shared" si="5"/>
        <v>0</v>
      </c>
      <c r="M344" s="135">
        <f>IF(H344&lt;=NoEchMaxi,ROUND(L344*R344,NbDeci),0)</f>
        <v>0</v>
      </c>
      <c r="N344" s="134">
        <f>IF(OR(H344&lt;=Différé,H344&gt;NoEchMaxi),IF(DiffTotal,-M344,0),IF(H344&gt;=NoEchRemb,L344,IF(S344-(M344*EchFIXE)&gt;L344-2,L344,S344-(M344*EchFIXE))))+C344</f>
        <v>0</v>
      </c>
      <c r="O344" s="136">
        <f>IF(OR(L344=0,H344&gt;NoEchMaxi),0,ROUND(FraisF+FraisV*L344,NbDeci))+F344</f>
        <v>0</v>
      </c>
      <c r="P344" s="148">
        <f t="shared" si="3"/>
        <v>0</v>
      </c>
      <c r="Q344" s="1"/>
      <c r="R344" s="138">
        <f>IF(B344&gt;0,IF(TauxActuariel,((B344+1)^(1/NbEchAn))-1,B344/NbEchAn),R343)</f>
        <v>0.04</v>
      </c>
      <c r="S344" s="139">
        <f>IF(E344&gt;0,E344,IF(D344&gt;0,IF(AND(EchFIXE,R344&gt;0),ROUND((L344-C344)*R344/(1-((1+R344)^-D344)),NbDeci),ROUND(L344/D344,NbDeci)),S343))</f>
        <v>6664</v>
      </c>
      <c r="T344" s="1"/>
      <c r="U344" s="1"/>
      <c r="V344" s="1"/>
      <c r="W344" s="1"/>
      <c r="X344" s="1"/>
      <c r="Y344" s="1"/>
      <c r="Z344" s="1"/>
      <c r="AA344" s="1"/>
    </row>
    <row r="345" ht="12.75" customHeight="1">
      <c r="A345" s="1"/>
      <c r="B345" s="140"/>
      <c r="C345" s="141"/>
      <c r="D345" s="142"/>
      <c r="E345" s="143"/>
      <c r="F345" s="144"/>
      <c r="G345" s="1"/>
      <c r="H345" s="131" t="str">
        <f t="shared" si="4"/>
        <v/>
      </c>
      <c r="I345" s="132" t="str">
        <f>IF(L345&gt;0,NbEch+Différé+1-H345,"")</f>
        <v/>
      </c>
      <c r="J345" s="145" t="str">
        <f t="shared" si="2"/>
        <v/>
      </c>
      <c r="K345" s="146" t="str">
        <f>IF(L345=0,"",IF(Ijour=0,MIN(DATE(YEAR(DebAmort),MONTH(DebAmort)+(H345-1)*Imois,Jour1),DATE(YEAR(DebAmort),MONTH(DebAmort)+1+(H345-1)*Imois,0)),DATE(YEAR(DebAmort),MONTH(DebAmort),Jour1+(H345-1)*Ijour)))</f>
        <v/>
      </c>
      <c r="L345" s="147">
        <f t="shared" si="5"/>
        <v>0</v>
      </c>
      <c r="M345" s="135">
        <f>IF(H345&lt;=NoEchMaxi,ROUND(L345*R345,NbDeci),0)</f>
        <v>0</v>
      </c>
      <c r="N345" s="134">
        <f>IF(OR(H345&lt;=Différé,H345&gt;NoEchMaxi),IF(DiffTotal,-M345,0),IF(H345&gt;=NoEchRemb,L345,IF(S345-(M345*EchFIXE)&gt;L345-2,L345,S345-(M345*EchFIXE))))+C345</f>
        <v>0</v>
      </c>
      <c r="O345" s="136">
        <f>IF(OR(L345=0,H345&gt;NoEchMaxi),0,ROUND(FraisF+FraisV*L345,NbDeci))+F345</f>
        <v>0</v>
      </c>
      <c r="P345" s="148">
        <f t="shared" si="3"/>
        <v>0</v>
      </c>
      <c r="Q345" s="1"/>
      <c r="R345" s="138">
        <f>IF(B345&gt;0,IF(TauxActuariel,((B345+1)^(1/NbEchAn))-1,B345/NbEchAn),R344)</f>
        <v>0.04</v>
      </c>
      <c r="S345" s="139">
        <f>IF(E345&gt;0,E345,IF(D345&gt;0,IF(AND(EchFIXE,R345&gt;0),ROUND((L345-C345)*R345/(1-((1+R345)^-D345)),NbDeci),ROUND(L345/D345,NbDeci)),S344))</f>
        <v>6664</v>
      </c>
      <c r="T345" s="1"/>
      <c r="U345" s="1"/>
      <c r="V345" s="1"/>
      <c r="W345" s="1"/>
      <c r="X345" s="1"/>
      <c r="Y345" s="1"/>
      <c r="Z345" s="1"/>
      <c r="AA345" s="1"/>
    </row>
    <row r="346" ht="12.75" customHeight="1">
      <c r="A346" s="1"/>
      <c r="B346" s="140"/>
      <c r="C346" s="141"/>
      <c r="D346" s="142"/>
      <c r="E346" s="143"/>
      <c r="F346" s="144"/>
      <c r="G346" s="1"/>
      <c r="H346" s="131" t="str">
        <f t="shared" si="4"/>
        <v/>
      </c>
      <c r="I346" s="132" t="str">
        <f>IF(L346&gt;0,NbEch+Différé+1-H346,"")</f>
        <v/>
      </c>
      <c r="J346" s="145" t="str">
        <f t="shared" si="2"/>
        <v/>
      </c>
      <c r="K346" s="146" t="str">
        <f>IF(L346=0,"",IF(Ijour=0,MIN(DATE(YEAR(DebAmort),MONTH(DebAmort)+MoisD+(H346-1)*Imois,Jour2),DATE(YEAR(DebAmort),MONTH(DebAmort)+MoisD+1+(H346-1)*Imois,0)),DATE(YEAR(DebAmort),MONTH(DebAmort),Jour1+(H346-1)*Ijour)))</f>
        <v/>
      </c>
      <c r="L346" s="147">
        <f t="shared" si="5"/>
        <v>0</v>
      </c>
      <c r="M346" s="135">
        <f>IF(H346&lt;=NoEchMaxi,ROUND(L346*R346,NbDeci),0)</f>
        <v>0</v>
      </c>
      <c r="N346" s="134">
        <f>IF(OR(H346&lt;=Différé,H346&gt;NoEchMaxi),IF(DiffTotal,-M346,0),IF(H346&gt;=NoEchRemb,L346,IF(S346-(M346*EchFIXE)&gt;L346-2,L346,S346-(M346*EchFIXE))))+C346</f>
        <v>0</v>
      </c>
      <c r="O346" s="136">
        <f>IF(OR(L346=0,H346&gt;NoEchMaxi),0,ROUND(FraisF+FraisV*L346,NbDeci))+F346</f>
        <v>0</v>
      </c>
      <c r="P346" s="148">
        <f t="shared" si="3"/>
        <v>0</v>
      </c>
      <c r="Q346" s="1"/>
      <c r="R346" s="138">
        <f>IF(B346&gt;0,IF(TauxActuariel,((B346+1)^(1/NbEchAn))-1,B346/NbEchAn),R345)</f>
        <v>0.04</v>
      </c>
      <c r="S346" s="139">
        <f>IF(E346&gt;0,E346,IF(D346&gt;0,IF(AND(EchFIXE,R346&gt;0),ROUND((L346-C346)*R346/(1-((1+R346)^-D346)),NbDeci),ROUND(L346/D346,NbDeci)),S345))</f>
        <v>6664</v>
      </c>
      <c r="T346" s="1"/>
      <c r="U346" s="1"/>
      <c r="V346" s="1"/>
      <c r="W346" s="1"/>
      <c r="X346" s="1"/>
      <c r="Y346" s="1"/>
      <c r="Z346" s="1"/>
      <c r="AA346" s="1"/>
    </row>
    <row r="347" ht="12.75" customHeight="1">
      <c r="A347" s="1"/>
      <c r="B347" s="140"/>
      <c r="C347" s="141"/>
      <c r="D347" s="142"/>
      <c r="E347" s="143"/>
      <c r="F347" s="144"/>
      <c r="G347" s="1"/>
      <c r="H347" s="131" t="str">
        <f t="shared" si="4"/>
        <v/>
      </c>
      <c r="I347" s="132" t="str">
        <f>IF(L347&gt;0,NbEch+Différé+1-H347,"")</f>
        <v/>
      </c>
      <c r="J347" s="145" t="str">
        <f t="shared" si="2"/>
        <v/>
      </c>
      <c r="K347" s="146" t="str">
        <f>IF(L347=0,"",IF(Ijour=0,MIN(DATE(YEAR(DebAmort),MONTH(DebAmort)+(H347-1)*Imois,Jour1),DATE(YEAR(DebAmort),MONTH(DebAmort)+1+(H347-1)*Imois,0)),DATE(YEAR(DebAmort),MONTH(DebAmort),Jour1+(H347-1)*Ijour)))</f>
        <v/>
      </c>
      <c r="L347" s="147">
        <f t="shared" si="5"/>
        <v>0</v>
      </c>
      <c r="M347" s="135">
        <f>IF(H347&lt;=NoEchMaxi,ROUND(L347*R347,NbDeci),0)</f>
        <v>0</v>
      </c>
      <c r="N347" s="134">
        <f>IF(OR(H347&lt;=Différé,H347&gt;NoEchMaxi),IF(DiffTotal,-M347,0),IF(H347&gt;=NoEchRemb,L347,IF(S347-(M347*EchFIXE)&gt;L347-2,L347,S347-(M347*EchFIXE))))+C347</f>
        <v>0</v>
      </c>
      <c r="O347" s="136">
        <f>IF(OR(L347=0,H347&gt;NoEchMaxi),0,ROUND(FraisF+FraisV*L347,NbDeci))+F347</f>
        <v>0</v>
      </c>
      <c r="P347" s="148">
        <f t="shared" si="3"/>
        <v>0</v>
      </c>
      <c r="Q347" s="1"/>
      <c r="R347" s="138">
        <f>IF(B347&gt;0,IF(TauxActuariel,((B347+1)^(1/NbEchAn))-1,B347/NbEchAn),R346)</f>
        <v>0.04</v>
      </c>
      <c r="S347" s="139">
        <f>IF(E347&gt;0,E347,IF(D347&gt;0,IF(AND(EchFIXE,R347&gt;0),ROUND((L347-C347)*R347/(1-((1+R347)^-D347)),NbDeci),ROUND(L347/D347,NbDeci)),S346))</f>
        <v>6664</v>
      </c>
      <c r="T347" s="1"/>
      <c r="U347" s="1"/>
      <c r="V347" s="1"/>
      <c r="W347" s="1"/>
      <c r="X347" s="1"/>
      <c r="Y347" s="1"/>
      <c r="Z347" s="1"/>
      <c r="AA347" s="1"/>
    </row>
    <row r="348" ht="12.75" customHeight="1">
      <c r="A348" s="1"/>
      <c r="B348" s="140"/>
      <c r="C348" s="141"/>
      <c r="D348" s="142"/>
      <c r="E348" s="143"/>
      <c r="F348" s="144"/>
      <c r="G348" s="1"/>
      <c r="H348" s="131" t="str">
        <f t="shared" si="4"/>
        <v/>
      </c>
      <c r="I348" s="132" t="str">
        <f>IF(L348&gt;0,NbEch+Différé+1-H348,"")</f>
        <v/>
      </c>
      <c r="J348" s="145" t="str">
        <f t="shared" si="2"/>
        <v/>
      </c>
      <c r="K348" s="146" t="str">
        <f>IF(L348=0,"",IF(Ijour=0,MIN(DATE(YEAR(DebAmort),MONTH(DebAmort)+MoisD+(H348-1)*Imois,Jour2),DATE(YEAR(DebAmort),MONTH(DebAmort)+MoisD+1+(H348-1)*Imois,0)),DATE(YEAR(DebAmort),MONTH(DebAmort),Jour1+(H348-1)*Ijour)))</f>
        <v/>
      </c>
      <c r="L348" s="147">
        <f t="shared" si="5"/>
        <v>0</v>
      </c>
      <c r="M348" s="135">
        <f>IF(H348&lt;=NoEchMaxi,ROUND(L348*R348,NbDeci),0)</f>
        <v>0</v>
      </c>
      <c r="N348" s="134">
        <f>IF(OR(H348&lt;=Différé,H348&gt;NoEchMaxi),IF(DiffTotal,-M348,0),IF(H348&gt;=NoEchRemb,L348,IF(S348-(M348*EchFIXE)&gt;L348-2,L348,S348-(M348*EchFIXE))))+C348</f>
        <v>0</v>
      </c>
      <c r="O348" s="136">
        <f>IF(OR(L348=0,H348&gt;NoEchMaxi),0,ROUND(FraisF+FraisV*L348,NbDeci))+F348</f>
        <v>0</v>
      </c>
      <c r="P348" s="148">
        <f t="shared" si="3"/>
        <v>0</v>
      </c>
      <c r="Q348" s="1"/>
      <c r="R348" s="138">
        <f>IF(B348&gt;0,IF(TauxActuariel,((B348+1)^(1/NbEchAn))-1,B348/NbEchAn),R347)</f>
        <v>0.04</v>
      </c>
      <c r="S348" s="139">
        <f>IF(E348&gt;0,E348,IF(D348&gt;0,IF(AND(EchFIXE,R348&gt;0),ROUND((L348-C348)*R348/(1-((1+R348)^-D348)),NbDeci),ROUND(L348/D348,NbDeci)),S347))</f>
        <v>6664</v>
      </c>
      <c r="T348" s="1"/>
      <c r="U348" s="1"/>
      <c r="V348" s="1"/>
      <c r="W348" s="1"/>
      <c r="X348" s="1"/>
      <c r="Y348" s="1"/>
      <c r="Z348" s="1"/>
      <c r="AA348" s="1"/>
    </row>
    <row r="349" ht="12.75" customHeight="1">
      <c r="A349" s="1"/>
      <c r="B349" s="140"/>
      <c r="C349" s="141"/>
      <c r="D349" s="142"/>
      <c r="E349" s="143"/>
      <c r="F349" s="144"/>
      <c r="G349" s="1"/>
      <c r="H349" s="131" t="str">
        <f t="shared" si="4"/>
        <v/>
      </c>
      <c r="I349" s="132" t="str">
        <f>IF(L349&gt;0,NbEch+Différé+1-H349,"")</f>
        <v/>
      </c>
      <c r="J349" s="145" t="str">
        <f t="shared" si="2"/>
        <v/>
      </c>
      <c r="K349" s="146" t="str">
        <f>IF(L349=0,"",IF(Ijour=0,MIN(DATE(YEAR(DebAmort),MONTH(DebAmort)+(H349-1)*Imois,Jour1),DATE(YEAR(DebAmort),MONTH(DebAmort)+1+(H349-1)*Imois,0)),DATE(YEAR(DebAmort),MONTH(DebAmort),Jour1+(H349-1)*Ijour)))</f>
        <v/>
      </c>
      <c r="L349" s="147">
        <f t="shared" si="5"/>
        <v>0</v>
      </c>
      <c r="M349" s="135">
        <f>IF(H349&lt;=NoEchMaxi,ROUND(L349*R349,NbDeci),0)</f>
        <v>0</v>
      </c>
      <c r="N349" s="134">
        <f>IF(OR(H349&lt;=Différé,H349&gt;NoEchMaxi),IF(DiffTotal,-M349,0),IF(H349&gt;=NoEchRemb,L349,IF(S349-(M349*EchFIXE)&gt;L349-2,L349,S349-(M349*EchFIXE))))+C349</f>
        <v>0</v>
      </c>
      <c r="O349" s="136">
        <f>IF(OR(L349=0,H349&gt;NoEchMaxi),0,ROUND(FraisF+FraisV*L349,NbDeci))+F349</f>
        <v>0</v>
      </c>
      <c r="P349" s="148">
        <f t="shared" si="3"/>
        <v>0</v>
      </c>
      <c r="Q349" s="1"/>
      <c r="R349" s="138">
        <f>IF(B349&gt;0,IF(TauxActuariel,((B349+1)^(1/NbEchAn))-1,B349/NbEchAn),R348)</f>
        <v>0.04</v>
      </c>
      <c r="S349" s="139">
        <f>IF(E349&gt;0,E349,IF(D349&gt;0,IF(AND(EchFIXE,R349&gt;0),ROUND((L349-C349)*R349/(1-((1+R349)^-D349)),NbDeci),ROUND(L349/D349,NbDeci)),S348))</f>
        <v>6664</v>
      </c>
      <c r="T349" s="1"/>
      <c r="U349" s="1"/>
      <c r="V349" s="1"/>
      <c r="W349" s="1"/>
      <c r="X349" s="1"/>
      <c r="Y349" s="1"/>
      <c r="Z349" s="1"/>
      <c r="AA349" s="1"/>
    </row>
    <row r="350" ht="12.75" customHeight="1">
      <c r="A350" s="1"/>
      <c r="B350" s="140"/>
      <c r="C350" s="141"/>
      <c r="D350" s="142"/>
      <c r="E350" s="143"/>
      <c r="F350" s="144"/>
      <c r="G350" s="1"/>
      <c r="H350" s="131" t="str">
        <f t="shared" si="4"/>
        <v/>
      </c>
      <c r="I350" s="132" t="str">
        <f>IF(L350&gt;0,NbEch+Différé+1-H350,"")</f>
        <v/>
      </c>
      <c r="J350" s="145" t="str">
        <f t="shared" si="2"/>
        <v/>
      </c>
      <c r="K350" s="146" t="str">
        <f>IF(L350=0,"",IF(Ijour=0,MIN(DATE(YEAR(DebAmort),MONTH(DebAmort)+MoisD+(H350-1)*Imois,Jour2),DATE(YEAR(DebAmort),MONTH(DebAmort)+MoisD+1+(H350-1)*Imois,0)),DATE(YEAR(DebAmort),MONTH(DebAmort),Jour1+(H350-1)*Ijour)))</f>
        <v/>
      </c>
      <c r="L350" s="147">
        <f t="shared" si="5"/>
        <v>0</v>
      </c>
      <c r="M350" s="135">
        <f>IF(H350&lt;=NoEchMaxi,ROUND(L350*R350,NbDeci),0)</f>
        <v>0</v>
      </c>
      <c r="N350" s="134">
        <f>IF(OR(H350&lt;=Différé,H350&gt;NoEchMaxi),IF(DiffTotal,-M350,0),IF(H350&gt;=NoEchRemb,L350,IF(S350-(M350*EchFIXE)&gt;L350-2,L350,S350-(M350*EchFIXE))))+C350</f>
        <v>0</v>
      </c>
      <c r="O350" s="136">
        <f>IF(OR(L350=0,H350&gt;NoEchMaxi),0,ROUND(FraisF+FraisV*L350,NbDeci))+F350</f>
        <v>0</v>
      </c>
      <c r="P350" s="148">
        <f t="shared" si="3"/>
        <v>0</v>
      </c>
      <c r="Q350" s="1"/>
      <c r="R350" s="138">
        <f>IF(B350&gt;0,IF(TauxActuariel,((B350+1)^(1/NbEchAn))-1,B350/NbEchAn),R349)</f>
        <v>0.04</v>
      </c>
      <c r="S350" s="139">
        <f>IF(E350&gt;0,E350,IF(D350&gt;0,IF(AND(EchFIXE,R350&gt;0),ROUND((L350-C350)*R350/(1-((1+R350)^-D350)),NbDeci),ROUND(L350/D350,NbDeci)),S349))</f>
        <v>6664</v>
      </c>
      <c r="T350" s="1"/>
      <c r="U350" s="1"/>
      <c r="V350" s="1"/>
      <c r="W350" s="1"/>
      <c r="X350" s="1"/>
      <c r="Y350" s="1"/>
      <c r="Z350" s="1"/>
      <c r="AA350" s="1"/>
    </row>
    <row r="351" ht="12.75" customHeight="1">
      <c r="A351" s="1"/>
      <c r="B351" s="140"/>
      <c r="C351" s="141"/>
      <c r="D351" s="142"/>
      <c r="E351" s="143"/>
      <c r="F351" s="144"/>
      <c r="G351" s="1"/>
      <c r="H351" s="131" t="str">
        <f t="shared" si="4"/>
        <v/>
      </c>
      <c r="I351" s="132" t="str">
        <f>IF(L351&gt;0,NbEch+Différé+1-H351,"")</f>
        <v/>
      </c>
      <c r="J351" s="145" t="str">
        <f t="shared" si="2"/>
        <v/>
      </c>
      <c r="K351" s="146" t="str">
        <f>IF(L351=0,"",IF(Ijour=0,MIN(DATE(YEAR(DebAmort),MONTH(DebAmort)+(H351-1)*Imois,Jour1),DATE(YEAR(DebAmort),MONTH(DebAmort)+1+(H351-1)*Imois,0)),DATE(YEAR(DebAmort),MONTH(DebAmort),Jour1+(H351-1)*Ijour)))</f>
        <v/>
      </c>
      <c r="L351" s="147">
        <f t="shared" si="5"/>
        <v>0</v>
      </c>
      <c r="M351" s="135">
        <f>IF(H351&lt;=NoEchMaxi,ROUND(L351*R351,NbDeci),0)</f>
        <v>0</v>
      </c>
      <c r="N351" s="134">
        <f>IF(OR(H351&lt;=Différé,H351&gt;NoEchMaxi),IF(DiffTotal,-M351,0),IF(H351&gt;=NoEchRemb,L351,IF(S351-(M351*EchFIXE)&gt;L351-2,L351,S351-(M351*EchFIXE))))+C351</f>
        <v>0</v>
      </c>
      <c r="O351" s="136">
        <f>IF(OR(L351=0,H351&gt;NoEchMaxi),0,ROUND(FraisF+FraisV*L351,NbDeci))+F351</f>
        <v>0</v>
      </c>
      <c r="P351" s="148">
        <f t="shared" si="3"/>
        <v>0</v>
      </c>
      <c r="Q351" s="1"/>
      <c r="R351" s="138">
        <f>IF(B351&gt;0,IF(TauxActuariel,((B351+1)^(1/NbEchAn))-1,B351/NbEchAn),R350)</f>
        <v>0.04</v>
      </c>
      <c r="S351" s="139">
        <f>IF(E351&gt;0,E351,IF(D351&gt;0,IF(AND(EchFIXE,R351&gt;0),ROUND((L351-C351)*R351/(1-((1+R351)^-D351)),NbDeci),ROUND(L351/D351,NbDeci)),S350))</f>
        <v>6664</v>
      </c>
      <c r="T351" s="1"/>
      <c r="U351" s="1"/>
      <c r="V351" s="1"/>
      <c r="W351" s="1"/>
      <c r="X351" s="1"/>
      <c r="Y351" s="1"/>
      <c r="Z351" s="1"/>
      <c r="AA351" s="1"/>
    </row>
    <row r="352" ht="12.75" customHeight="1">
      <c r="A352" s="1"/>
      <c r="B352" s="140"/>
      <c r="C352" s="141"/>
      <c r="D352" s="142"/>
      <c r="E352" s="143"/>
      <c r="F352" s="144"/>
      <c r="G352" s="1"/>
      <c r="H352" s="131" t="str">
        <f t="shared" si="4"/>
        <v/>
      </c>
      <c r="I352" s="132" t="str">
        <f>IF(L352&gt;0,NbEch+Différé+1-H352,"")</f>
        <v/>
      </c>
      <c r="J352" s="145" t="str">
        <f t="shared" si="2"/>
        <v/>
      </c>
      <c r="K352" s="146" t="str">
        <f>IF(L352=0,"",IF(Ijour=0,MIN(DATE(YEAR(DebAmort),MONTH(DebAmort)+MoisD+(H352-1)*Imois,Jour2),DATE(YEAR(DebAmort),MONTH(DebAmort)+MoisD+1+(H352-1)*Imois,0)),DATE(YEAR(DebAmort),MONTH(DebAmort),Jour1+(H352-1)*Ijour)))</f>
        <v/>
      </c>
      <c r="L352" s="147">
        <f t="shared" si="5"/>
        <v>0</v>
      </c>
      <c r="M352" s="135">
        <f>IF(H352&lt;=NoEchMaxi,ROUND(L352*R352,NbDeci),0)</f>
        <v>0</v>
      </c>
      <c r="N352" s="134">
        <f>IF(OR(H352&lt;=Différé,H352&gt;NoEchMaxi),IF(DiffTotal,-M352,0),IF(H352&gt;=NoEchRemb,L352,IF(S352-(M352*EchFIXE)&gt;L352-2,L352,S352-(M352*EchFIXE))))+C352</f>
        <v>0</v>
      </c>
      <c r="O352" s="136">
        <f>IF(OR(L352=0,H352&gt;NoEchMaxi),0,ROUND(FraisF+FraisV*L352,NbDeci))+F352</f>
        <v>0</v>
      </c>
      <c r="P352" s="148">
        <f t="shared" si="3"/>
        <v>0</v>
      </c>
      <c r="Q352" s="1"/>
      <c r="R352" s="138">
        <f>IF(B352&gt;0,IF(TauxActuariel,((B352+1)^(1/NbEchAn))-1,B352/NbEchAn),R351)</f>
        <v>0.04</v>
      </c>
      <c r="S352" s="139">
        <f>IF(E352&gt;0,E352,IF(D352&gt;0,IF(AND(EchFIXE,R352&gt;0),ROUND((L352-C352)*R352/(1-((1+R352)^-D352)),NbDeci),ROUND(L352/D352,NbDeci)),S351))</f>
        <v>6664</v>
      </c>
      <c r="T352" s="1"/>
      <c r="U352" s="1"/>
      <c r="V352" s="1"/>
      <c r="W352" s="1"/>
      <c r="X352" s="1"/>
      <c r="Y352" s="1"/>
      <c r="Z352" s="1"/>
      <c r="AA352" s="1"/>
    </row>
    <row r="353" ht="12.75" customHeight="1">
      <c r="A353" s="1"/>
      <c r="B353" s="140"/>
      <c r="C353" s="141"/>
      <c r="D353" s="142"/>
      <c r="E353" s="143"/>
      <c r="F353" s="144"/>
      <c r="G353" s="1"/>
      <c r="H353" s="131" t="str">
        <f t="shared" si="4"/>
        <v/>
      </c>
      <c r="I353" s="132" t="str">
        <f>IF(L353&gt;0,NbEch+Différé+1-H353,"")</f>
        <v/>
      </c>
      <c r="J353" s="145" t="str">
        <f t="shared" si="2"/>
        <v/>
      </c>
      <c r="K353" s="146" t="str">
        <f>IF(L353=0,"",IF(Ijour=0,MIN(DATE(YEAR(DebAmort),MONTH(DebAmort)+(H353-1)*Imois,Jour1),DATE(YEAR(DebAmort),MONTH(DebAmort)+1+(H353-1)*Imois,0)),DATE(YEAR(DebAmort),MONTH(DebAmort),Jour1+(H353-1)*Ijour)))</f>
        <v/>
      </c>
      <c r="L353" s="147">
        <f t="shared" si="5"/>
        <v>0</v>
      </c>
      <c r="M353" s="135">
        <f>IF(H353&lt;=NoEchMaxi,ROUND(L353*R353,NbDeci),0)</f>
        <v>0</v>
      </c>
      <c r="N353" s="134">
        <f>IF(OR(H353&lt;=Différé,H353&gt;NoEchMaxi),IF(DiffTotal,-M353,0),IF(H353&gt;=NoEchRemb,L353,IF(S353-(M353*EchFIXE)&gt;L353-2,L353,S353-(M353*EchFIXE))))+C353</f>
        <v>0</v>
      </c>
      <c r="O353" s="136">
        <f>IF(OR(L353=0,H353&gt;NoEchMaxi),0,ROUND(FraisF+FraisV*L353,NbDeci))+F353</f>
        <v>0</v>
      </c>
      <c r="P353" s="148">
        <f t="shared" si="3"/>
        <v>0</v>
      </c>
      <c r="Q353" s="1"/>
      <c r="R353" s="138">
        <f>IF(B353&gt;0,IF(TauxActuariel,((B353+1)^(1/NbEchAn))-1,B353/NbEchAn),R352)</f>
        <v>0.04</v>
      </c>
      <c r="S353" s="139">
        <f>IF(E353&gt;0,E353,IF(D353&gt;0,IF(AND(EchFIXE,R353&gt;0),ROUND((L353-C353)*R353/(1-((1+R353)^-D353)),NbDeci),ROUND(L353/D353,NbDeci)),S352))</f>
        <v>6664</v>
      </c>
      <c r="T353" s="1"/>
      <c r="U353" s="1"/>
      <c r="V353" s="1"/>
      <c r="W353" s="1"/>
      <c r="X353" s="1"/>
      <c r="Y353" s="1"/>
      <c r="Z353" s="1"/>
      <c r="AA353" s="1"/>
    </row>
    <row r="354" ht="12.75" customHeight="1">
      <c r="A354" s="1"/>
      <c r="B354" s="140"/>
      <c r="C354" s="141"/>
      <c r="D354" s="142"/>
      <c r="E354" s="143"/>
      <c r="F354" s="144"/>
      <c r="G354" s="1"/>
      <c r="H354" s="131" t="str">
        <f t="shared" si="4"/>
        <v/>
      </c>
      <c r="I354" s="132" t="str">
        <f>IF(L354&gt;0,NbEch+Différé+1-H354,"")</f>
        <v/>
      </c>
      <c r="J354" s="145" t="str">
        <f t="shared" si="2"/>
        <v/>
      </c>
      <c r="K354" s="146" t="str">
        <f>IF(L354=0,"",IF(Ijour=0,MIN(DATE(YEAR(DebAmort),MONTH(DebAmort)+MoisD+(H354-1)*Imois,Jour2),DATE(YEAR(DebAmort),MONTH(DebAmort)+MoisD+1+(H354-1)*Imois,0)),DATE(YEAR(DebAmort),MONTH(DebAmort),Jour1+(H354-1)*Ijour)))</f>
        <v/>
      </c>
      <c r="L354" s="147">
        <f t="shared" si="5"/>
        <v>0</v>
      </c>
      <c r="M354" s="135">
        <f>IF(H354&lt;=NoEchMaxi,ROUND(L354*R354,NbDeci),0)</f>
        <v>0</v>
      </c>
      <c r="N354" s="134">
        <f>IF(OR(H354&lt;=Différé,H354&gt;NoEchMaxi),IF(DiffTotal,-M354,0),IF(H354&gt;=NoEchRemb,L354,IF(S354-(M354*EchFIXE)&gt;L354-2,L354,S354-(M354*EchFIXE))))+C354</f>
        <v>0</v>
      </c>
      <c r="O354" s="136">
        <f>IF(OR(L354=0,H354&gt;NoEchMaxi),0,ROUND(FraisF+FraisV*L354,NbDeci))+F354</f>
        <v>0</v>
      </c>
      <c r="P354" s="148">
        <f t="shared" si="3"/>
        <v>0</v>
      </c>
      <c r="Q354" s="1"/>
      <c r="R354" s="138">
        <f>IF(B354&gt;0,IF(TauxActuariel,((B354+1)^(1/NbEchAn))-1,B354/NbEchAn),R353)</f>
        <v>0.04</v>
      </c>
      <c r="S354" s="139">
        <f>IF(E354&gt;0,E354,IF(D354&gt;0,IF(AND(EchFIXE,R354&gt;0),ROUND((L354-C354)*R354/(1-((1+R354)^-D354)),NbDeci),ROUND(L354/D354,NbDeci)),S353))</f>
        <v>6664</v>
      </c>
      <c r="T354" s="1"/>
      <c r="U354" s="1"/>
      <c r="V354" s="1"/>
      <c r="W354" s="1"/>
      <c r="X354" s="1"/>
      <c r="Y354" s="1"/>
      <c r="Z354" s="1"/>
      <c r="AA354" s="1"/>
    </row>
    <row r="355" ht="12.75" customHeight="1">
      <c r="A355" s="1"/>
      <c r="B355" s="140"/>
      <c r="C355" s="141"/>
      <c r="D355" s="142"/>
      <c r="E355" s="143"/>
      <c r="F355" s="144"/>
      <c r="G355" s="1"/>
      <c r="H355" s="131" t="str">
        <f t="shared" si="4"/>
        <v/>
      </c>
      <c r="I355" s="132" t="str">
        <f>IF(L355&gt;0,NbEch+Différé+1-H355,"")</f>
        <v/>
      </c>
      <c r="J355" s="145" t="str">
        <f t="shared" si="2"/>
        <v/>
      </c>
      <c r="K355" s="146" t="str">
        <f>IF(L355=0,"",IF(Ijour=0,MIN(DATE(YEAR(DebAmort),MONTH(DebAmort)+(H355-1)*Imois,Jour1),DATE(YEAR(DebAmort),MONTH(DebAmort)+1+(H355-1)*Imois,0)),DATE(YEAR(DebAmort),MONTH(DebAmort),Jour1+(H355-1)*Ijour)))</f>
        <v/>
      </c>
      <c r="L355" s="147">
        <f t="shared" si="5"/>
        <v>0</v>
      </c>
      <c r="M355" s="135">
        <f>IF(H355&lt;=NoEchMaxi,ROUND(L355*R355,NbDeci),0)</f>
        <v>0</v>
      </c>
      <c r="N355" s="134">
        <f>IF(OR(H355&lt;=Différé,H355&gt;NoEchMaxi),IF(DiffTotal,-M355,0),IF(H355&gt;=NoEchRemb,L355,IF(S355-(M355*EchFIXE)&gt;L355-2,L355,S355-(M355*EchFIXE))))+C355</f>
        <v>0</v>
      </c>
      <c r="O355" s="136">
        <f>IF(OR(L355=0,H355&gt;NoEchMaxi),0,ROUND(FraisF+FraisV*L355,NbDeci))+F355</f>
        <v>0</v>
      </c>
      <c r="P355" s="148">
        <f t="shared" si="3"/>
        <v>0</v>
      </c>
      <c r="Q355" s="1"/>
      <c r="R355" s="138">
        <f>IF(B355&gt;0,IF(TauxActuariel,((B355+1)^(1/NbEchAn))-1,B355/NbEchAn),R354)</f>
        <v>0.04</v>
      </c>
      <c r="S355" s="139">
        <f>IF(E355&gt;0,E355,IF(D355&gt;0,IF(AND(EchFIXE,R355&gt;0),ROUND((L355-C355)*R355/(1-((1+R355)^-D355)),NbDeci),ROUND(L355/D355,NbDeci)),S354))</f>
        <v>6664</v>
      </c>
      <c r="T355" s="1"/>
      <c r="U355" s="1"/>
      <c r="V355" s="1"/>
      <c r="W355" s="1"/>
      <c r="X355" s="1"/>
      <c r="Y355" s="1"/>
      <c r="Z355" s="1"/>
      <c r="AA355" s="1"/>
    </row>
    <row r="356" ht="12.75" customHeight="1">
      <c r="A356" s="1"/>
      <c r="B356" s="140"/>
      <c r="C356" s="141"/>
      <c r="D356" s="142"/>
      <c r="E356" s="143"/>
      <c r="F356" s="144"/>
      <c r="G356" s="1"/>
      <c r="H356" s="131" t="str">
        <f t="shared" si="4"/>
        <v/>
      </c>
      <c r="I356" s="132" t="str">
        <f>IF(L356&gt;0,NbEch+Différé+1-H356,"")</f>
        <v/>
      </c>
      <c r="J356" s="145" t="str">
        <f t="shared" si="2"/>
        <v/>
      </c>
      <c r="K356" s="146" t="str">
        <f>IF(L356=0,"",IF(Ijour=0,MIN(DATE(YEAR(DebAmort),MONTH(DebAmort)+MoisD+(H356-1)*Imois,Jour2),DATE(YEAR(DebAmort),MONTH(DebAmort)+MoisD+1+(H356-1)*Imois,0)),DATE(YEAR(DebAmort),MONTH(DebAmort),Jour1+(H356-1)*Ijour)))</f>
        <v/>
      </c>
      <c r="L356" s="147">
        <f t="shared" si="5"/>
        <v>0</v>
      </c>
      <c r="M356" s="135">
        <f>IF(H356&lt;=NoEchMaxi,ROUND(L356*R356,NbDeci),0)</f>
        <v>0</v>
      </c>
      <c r="N356" s="134">
        <f>IF(OR(H356&lt;=Différé,H356&gt;NoEchMaxi),IF(DiffTotal,-M356,0),IF(H356&gt;=NoEchRemb,L356,IF(S356-(M356*EchFIXE)&gt;L356-2,L356,S356-(M356*EchFIXE))))+C356</f>
        <v>0</v>
      </c>
      <c r="O356" s="136">
        <f>IF(OR(L356=0,H356&gt;NoEchMaxi),0,ROUND(FraisF+FraisV*L356,NbDeci))+F356</f>
        <v>0</v>
      </c>
      <c r="P356" s="148">
        <f t="shared" si="3"/>
        <v>0</v>
      </c>
      <c r="Q356" s="1"/>
      <c r="R356" s="138">
        <f>IF(B356&gt;0,IF(TauxActuariel,((B356+1)^(1/NbEchAn))-1,B356/NbEchAn),R355)</f>
        <v>0.04</v>
      </c>
      <c r="S356" s="139">
        <f>IF(E356&gt;0,E356,IF(D356&gt;0,IF(AND(EchFIXE,R356&gt;0),ROUND((L356-C356)*R356/(1-((1+R356)^-D356)),NbDeci),ROUND(L356/D356,NbDeci)),S355))</f>
        <v>6664</v>
      </c>
      <c r="T356" s="1"/>
      <c r="U356" s="1"/>
      <c r="V356" s="1"/>
      <c r="W356" s="1"/>
      <c r="X356" s="1"/>
      <c r="Y356" s="1"/>
      <c r="Z356" s="1"/>
      <c r="AA356" s="1"/>
    </row>
    <row r="357" ht="12.75" customHeight="1">
      <c r="A357" s="1"/>
      <c r="B357" s="140"/>
      <c r="C357" s="141"/>
      <c r="D357" s="142"/>
      <c r="E357" s="143"/>
      <c r="F357" s="144"/>
      <c r="G357" s="1"/>
      <c r="H357" s="131" t="str">
        <f t="shared" si="4"/>
        <v/>
      </c>
      <c r="I357" s="132" t="str">
        <f>IF(L357&gt;0,NbEch+Différé+1-H357,"")</f>
        <v/>
      </c>
      <c r="J357" s="145" t="str">
        <f t="shared" si="2"/>
        <v/>
      </c>
      <c r="K357" s="146" t="str">
        <f>IF(L357=0,"",IF(Ijour=0,MIN(DATE(YEAR(DebAmort),MONTH(DebAmort)+(H357-1)*Imois,Jour1),DATE(YEAR(DebAmort),MONTH(DebAmort)+1+(H357-1)*Imois,0)),DATE(YEAR(DebAmort),MONTH(DebAmort),Jour1+(H357-1)*Ijour)))</f>
        <v/>
      </c>
      <c r="L357" s="147">
        <f t="shared" si="5"/>
        <v>0</v>
      </c>
      <c r="M357" s="135">
        <f>IF(H357&lt;=NoEchMaxi,ROUND(L357*R357,NbDeci),0)</f>
        <v>0</v>
      </c>
      <c r="N357" s="134">
        <f>IF(OR(H357&lt;=Différé,H357&gt;NoEchMaxi),IF(DiffTotal,-M357,0),IF(H357&gt;=NoEchRemb,L357,IF(S357-(M357*EchFIXE)&gt;L357-2,L357,S357-(M357*EchFIXE))))+C357</f>
        <v>0</v>
      </c>
      <c r="O357" s="136">
        <f>IF(OR(L357=0,H357&gt;NoEchMaxi),0,ROUND(FraisF+FraisV*L357,NbDeci))+F357</f>
        <v>0</v>
      </c>
      <c r="P357" s="148">
        <f t="shared" si="3"/>
        <v>0</v>
      </c>
      <c r="Q357" s="1"/>
      <c r="R357" s="138">
        <f>IF(B357&gt;0,IF(TauxActuariel,((B357+1)^(1/NbEchAn))-1,B357/NbEchAn),R356)</f>
        <v>0.04</v>
      </c>
      <c r="S357" s="139">
        <f>IF(E357&gt;0,E357,IF(D357&gt;0,IF(AND(EchFIXE,R357&gt;0),ROUND((L357-C357)*R357/(1-((1+R357)^-D357)),NbDeci),ROUND(L357/D357,NbDeci)),S356))</f>
        <v>6664</v>
      </c>
      <c r="T357" s="1"/>
      <c r="U357" s="1"/>
      <c r="V357" s="1"/>
      <c r="W357" s="1"/>
      <c r="X357" s="1"/>
      <c r="Y357" s="1"/>
      <c r="Z357" s="1"/>
      <c r="AA357" s="1"/>
    </row>
    <row r="358" ht="12.75" customHeight="1">
      <c r="A358" s="1"/>
      <c r="B358" s="140"/>
      <c r="C358" s="141"/>
      <c r="D358" s="142"/>
      <c r="E358" s="143"/>
      <c r="F358" s="144"/>
      <c r="G358" s="1"/>
      <c r="H358" s="131" t="str">
        <f t="shared" si="4"/>
        <v/>
      </c>
      <c r="I358" s="132" t="str">
        <f>IF(L358&gt;0,NbEch+Différé+1-H358,"")</f>
        <v/>
      </c>
      <c r="J358" s="145" t="str">
        <f t="shared" si="2"/>
        <v/>
      </c>
      <c r="K358" s="146" t="str">
        <f>IF(L358=0,"",IF(Ijour=0,MIN(DATE(YEAR(DebAmort),MONTH(DebAmort)+MoisD+(H358-1)*Imois,Jour2),DATE(YEAR(DebAmort),MONTH(DebAmort)+MoisD+1+(H358-1)*Imois,0)),DATE(YEAR(DebAmort),MONTH(DebAmort),Jour1+(H358-1)*Ijour)))</f>
        <v/>
      </c>
      <c r="L358" s="147">
        <f t="shared" si="5"/>
        <v>0</v>
      </c>
      <c r="M358" s="135">
        <f>IF(H358&lt;=NoEchMaxi,ROUND(L358*R358,NbDeci),0)</f>
        <v>0</v>
      </c>
      <c r="N358" s="134">
        <f>IF(OR(H358&lt;=Différé,H358&gt;NoEchMaxi),IF(DiffTotal,-M358,0),IF(H358&gt;=NoEchRemb,L358,IF(S358-(M358*EchFIXE)&gt;L358-2,L358,S358-(M358*EchFIXE))))+C358</f>
        <v>0</v>
      </c>
      <c r="O358" s="136">
        <f>IF(OR(L358=0,H358&gt;NoEchMaxi),0,ROUND(FraisF+FraisV*L358,NbDeci))+F358</f>
        <v>0</v>
      </c>
      <c r="P358" s="148">
        <f t="shared" si="3"/>
        <v>0</v>
      </c>
      <c r="Q358" s="1"/>
      <c r="R358" s="138">
        <f>IF(B358&gt;0,IF(TauxActuariel,((B358+1)^(1/NbEchAn))-1,B358/NbEchAn),R357)</f>
        <v>0.04</v>
      </c>
      <c r="S358" s="139">
        <f>IF(E358&gt;0,E358,IF(D358&gt;0,IF(AND(EchFIXE,R358&gt;0),ROUND((L358-C358)*R358/(1-((1+R358)^-D358)),NbDeci),ROUND(L358/D358,NbDeci)),S357))</f>
        <v>6664</v>
      </c>
      <c r="T358" s="1"/>
      <c r="U358" s="1"/>
      <c r="V358" s="1"/>
      <c r="W358" s="1"/>
      <c r="X358" s="1"/>
      <c r="Y358" s="1"/>
      <c r="Z358" s="1"/>
      <c r="AA358" s="1"/>
    </row>
    <row r="359" ht="12.75" customHeight="1">
      <c r="A359" s="1"/>
      <c r="B359" s="140"/>
      <c r="C359" s="141"/>
      <c r="D359" s="142"/>
      <c r="E359" s="143"/>
      <c r="F359" s="144"/>
      <c r="G359" s="1"/>
      <c r="H359" s="131" t="str">
        <f t="shared" si="4"/>
        <v/>
      </c>
      <c r="I359" s="132" t="str">
        <f>IF(L359&gt;0,NbEch+Différé+1-H359,"")</f>
        <v/>
      </c>
      <c r="J359" s="145" t="str">
        <f t="shared" si="2"/>
        <v/>
      </c>
      <c r="K359" s="146" t="str">
        <f>IF(L359=0,"",IF(Ijour=0,MIN(DATE(YEAR(DebAmort),MONTH(DebAmort)+(H359-1)*Imois,Jour1),DATE(YEAR(DebAmort),MONTH(DebAmort)+1+(H359-1)*Imois,0)),DATE(YEAR(DebAmort),MONTH(DebAmort),Jour1+(H359-1)*Ijour)))</f>
        <v/>
      </c>
      <c r="L359" s="147">
        <f t="shared" si="5"/>
        <v>0</v>
      </c>
      <c r="M359" s="135">
        <f>IF(H359&lt;=NoEchMaxi,ROUND(L359*R359,NbDeci),0)</f>
        <v>0</v>
      </c>
      <c r="N359" s="134">
        <f>IF(OR(H359&lt;=Différé,H359&gt;NoEchMaxi),IF(DiffTotal,-M359,0),IF(H359&gt;=NoEchRemb,L359,IF(S359-(M359*EchFIXE)&gt;L359-2,L359,S359-(M359*EchFIXE))))+C359</f>
        <v>0</v>
      </c>
      <c r="O359" s="136">
        <f>IF(OR(L359=0,H359&gt;NoEchMaxi),0,ROUND(FraisF+FraisV*L359,NbDeci))+F359</f>
        <v>0</v>
      </c>
      <c r="P359" s="148">
        <f t="shared" si="3"/>
        <v>0</v>
      </c>
      <c r="Q359" s="1"/>
      <c r="R359" s="138">
        <f>IF(B359&gt;0,IF(TauxActuariel,((B359+1)^(1/NbEchAn))-1,B359/NbEchAn),R358)</f>
        <v>0.04</v>
      </c>
      <c r="S359" s="139">
        <f>IF(E359&gt;0,E359,IF(D359&gt;0,IF(AND(EchFIXE,R359&gt;0),ROUND((L359-C359)*R359/(1-((1+R359)^-D359)),NbDeci),ROUND(L359/D359,NbDeci)),S358))</f>
        <v>6664</v>
      </c>
      <c r="T359" s="1"/>
      <c r="U359" s="1"/>
      <c r="V359" s="1"/>
      <c r="W359" s="1"/>
      <c r="X359" s="1"/>
      <c r="Y359" s="1"/>
      <c r="Z359" s="1"/>
      <c r="AA359" s="1"/>
    </row>
    <row r="360" ht="12.75" customHeight="1">
      <c r="A360" s="1"/>
      <c r="B360" s="140"/>
      <c r="C360" s="141"/>
      <c r="D360" s="142"/>
      <c r="E360" s="143"/>
      <c r="F360" s="144"/>
      <c r="G360" s="1"/>
      <c r="H360" s="131" t="str">
        <f t="shared" si="4"/>
        <v/>
      </c>
      <c r="I360" s="132" t="str">
        <f>IF(L360&gt;0,NbEch+Différé+1-H360,"")</f>
        <v/>
      </c>
      <c r="J360" s="145" t="str">
        <f t="shared" si="2"/>
        <v/>
      </c>
      <c r="K360" s="146" t="str">
        <f>IF(L360=0,"",IF(Ijour=0,MIN(DATE(YEAR(DebAmort),MONTH(DebAmort)+MoisD+(H360-1)*Imois,Jour2),DATE(YEAR(DebAmort),MONTH(DebAmort)+MoisD+1+(H360-1)*Imois,0)),DATE(YEAR(DebAmort),MONTH(DebAmort),Jour1+(H360-1)*Ijour)))</f>
        <v/>
      </c>
      <c r="L360" s="147">
        <f t="shared" si="5"/>
        <v>0</v>
      </c>
      <c r="M360" s="135">
        <f>IF(H360&lt;=NoEchMaxi,ROUND(L360*R360,NbDeci),0)</f>
        <v>0</v>
      </c>
      <c r="N360" s="134">
        <f>IF(OR(H360&lt;=Différé,H360&gt;NoEchMaxi),IF(DiffTotal,-M360,0),IF(H360&gt;=NoEchRemb,L360,IF(S360-(M360*EchFIXE)&gt;L360-2,L360,S360-(M360*EchFIXE))))+C360</f>
        <v>0</v>
      </c>
      <c r="O360" s="136">
        <f>IF(OR(L360=0,H360&gt;NoEchMaxi),0,ROUND(FraisF+FraisV*L360,NbDeci))+F360</f>
        <v>0</v>
      </c>
      <c r="P360" s="148">
        <f t="shared" si="3"/>
        <v>0</v>
      </c>
      <c r="Q360" s="1"/>
      <c r="R360" s="138">
        <f>IF(B360&gt;0,IF(TauxActuariel,((B360+1)^(1/NbEchAn))-1,B360/NbEchAn),R359)</f>
        <v>0.04</v>
      </c>
      <c r="S360" s="139">
        <f>IF(E360&gt;0,E360,IF(D360&gt;0,IF(AND(EchFIXE,R360&gt;0),ROUND((L360-C360)*R360/(1-((1+R360)^-D360)),NbDeci),ROUND(L360/D360,NbDeci)),S359))</f>
        <v>6664</v>
      </c>
      <c r="T360" s="1"/>
      <c r="U360" s="1"/>
      <c r="V360" s="1"/>
      <c r="W360" s="1"/>
      <c r="X360" s="1"/>
      <c r="Y360" s="1"/>
      <c r="Z360" s="1"/>
      <c r="AA360" s="1"/>
    </row>
    <row r="361" ht="12.75" customHeight="1">
      <c r="A361" s="1"/>
      <c r="B361" s="140"/>
      <c r="C361" s="141"/>
      <c r="D361" s="142"/>
      <c r="E361" s="143"/>
      <c r="F361" s="144"/>
      <c r="G361" s="1"/>
      <c r="H361" s="131" t="str">
        <f t="shared" si="4"/>
        <v/>
      </c>
      <c r="I361" s="132" t="str">
        <f>IF(L361&gt;0,NbEch+Différé+1-H361,"")</f>
        <v/>
      </c>
      <c r="J361" s="145" t="str">
        <f t="shared" si="2"/>
        <v/>
      </c>
      <c r="K361" s="146" t="str">
        <f>IF(L361=0,"",IF(Ijour=0,MIN(DATE(YEAR(DebAmort),MONTH(DebAmort)+(H361-1)*Imois,Jour1),DATE(YEAR(DebAmort),MONTH(DebAmort)+1+(H361-1)*Imois,0)),DATE(YEAR(DebAmort),MONTH(DebAmort),Jour1+(H361-1)*Ijour)))</f>
        <v/>
      </c>
      <c r="L361" s="147">
        <f t="shared" si="5"/>
        <v>0</v>
      </c>
      <c r="M361" s="135">
        <f>IF(H361&lt;=NoEchMaxi,ROUND(L361*R361,NbDeci),0)</f>
        <v>0</v>
      </c>
      <c r="N361" s="134">
        <f>IF(OR(H361&lt;=Différé,H361&gt;NoEchMaxi),IF(DiffTotal,-M361,0),IF(H361&gt;=NoEchRemb,L361,IF(S361-(M361*EchFIXE)&gt;L361-2,L361,S361-(M361*EchFIXE))))+C361</f>
        <v>0</v>
      </c>
      <c r="O361" s="136">
        <f>IF(OR(L361=0,H361&gt;NoEchMaxi),0,ROUND(FraisF+FraisV*L361,NbDeci))+F361</f>
        <v>0</v>
      </c>
      <c r="P361" s="148">
        <f t="shared" si="3"/>
        <v>0</v>
      </c>
      <c r="Q361" s="1"/>
      <c r="R361" s="138">
        <f>IF(B361&gt;0,IF(TauxActuariel,((B361+1)^(1/NbEchAn))-1,B361/NbEchAn),R360)</f>
        <v>0.04</v>
      </c>
      <c r="S361" s="139">
        <f>IF(E361&gt;0,E361,IF(D361&gt;0,IF(AND(EchFIXE,R361&gt;0),ROUND((L361-C361)*R361/(1-((1+R361)^-D361)),NbDeci),ROUND(L361/D361,NbDeci)),S360))</f>
        <v>6664</v>
      </c>
      <c r="T361" s="1"/>
      <c r="U361" s="1"/>
      <c r="V361" s="1"/>
      <c r="W361" s="1"/>
      <c r="X361" s="1"/>
      <c r="Y361" s="1"/>
      <c r="Z361" s="1"/>
      <c r="AA361" s="1"/>
    </row>
    <row r="362" ht="12.75" customHeight="1">
      <c r="A362" s="1"/>
      <c r="B362" s="140"/>
      <c r="C362" s="141"/>
      <c r="D362" s="142"/>
      <c r="E362" s="143"/>
      <c r="F362" s="144"/>
      <c r="G362" s="1"/>
      <c r="H362" s="131" t="str">
        <f t="shared" si="4"/>
        <v/>
      </c>
      <c r="I362" s="132" t="str">
        <f>IF(L362&gt;0,NbEch+Différé+1-H362,"")</f>
        <v/>
      </c>
      <c r="J362" s="145" t="str">
        <f t="shared" si="2"/>
        <v/>
      </c>
      <c r="K362" s="146" t="str">
        <f>IF(L362=0,"",IF(Ijour=0,MIN(DATE(YEAR(DebAmort),MONTH(DebAmort)+MoisD+(H362-1)*Imois,Jour2),DATE(YEAR(DebAmort),MONTH(DebAmort)+MoisD+1+(H362-1)*Imois,0)),DATE(YEAR(DebAmort),MONTH(DebAmort),Jour1+(H362-1)*Ijour)))</f>
        <v/>
      </c>
      <c r="L362" s="147">
        <f t="shared" si="5"/>
        <v>0</v>
      </c>
      <c r="M362" s="135">
        <f>IF(H362&lt;=NoEchMaxi,ROUND(L362*R362,NbDeci),0)</f>
        <v>0</v>
      </c>
      <c r="N362" s="134">
        <f>IF(OR(H362&lt;=Différé,H362&gt;NoEchMaxi),IF(DiffTotal,-M362,0),IF(H362&gt;=NoEchRemb,L362,IF(S362-(M362*EchFIXE)&gt;L362-2,L362,S362-(M362*EchFIXE))))+C362</f>
        <v>0</v>
      </c>
      <c r="O362" s="136">
        <f>IF(OR(L362=0,H362&gt;NoEchMaxi),0,ROUND(FraisF+FraisV*L362,NbDeci))+F362</f>
        <v>0</v>
      </c>
      <c r="P362" s="148">
        <f t="shared" si="3"/>
        <v>0</v>
      </c>
      <c r="Q362" s="1"/>
      <c r="R362" s="138">
        <f>IF(B362&gt;0,IF(TauxActuariel,((B362+1)^(1/NbEchAn))-1,B362/NbEchAn),R361)</f>
        <v>0.04</v>
      </c>
      <c r="S362" s="139">
        <f>IF(E362&gt;0,E362,IF(D362&gt;0,IF(AND(EchFIXE,R362&gt;0),ROUND((L362-C362)*R362/(1-((1+R362)^-D362)),NbDeci),ROUND(L362/D362,NbDeci)),S361))</f>
        <v>6664</v>
      </c>
      <c r="T362" s="1"/>
      <c r="U362" s="1"/>
      <c r="V362" s="1"/>
      <c r="W362" s="1"/>
      <c r="X362" s="1"/>
      <c r="Y362" s="1"/>
      <c r="Z362" s="1"/>
      <c r="AA362" s="1"/>
    </row>
    <row r="363" ht="12.75" customHeight="1">
      <c r="A363" s="1"/>
      <c r="B363" s="140"/>
      <c r="C363" s="141"/>
      <c r="D363" s="142"/>
      <c r="E363" s="143"/>
      <c r="F363" s="144"/>
      <c r="G363" s="1"/>
      <c r="H363" s="131" t="str">
        <f t="shared" si="4"/>
        <v/>
      </c>
      <c r="I363" s="132" t="str">
        <f>IF(L363&gt;0,NbEch+Différé+1-H363,"")</f>
        <v/>
      </c>
      <c r="J363" s="145" t="str">
        <f t="shared" si="2"/>
        <v/>
      </c>
      <c r="K363" s="146" t="str">
        <f>IF(L363=0,"",IF(Ijour=0,MIN(DATE(YEAR(DebAmort),MONTH(DebAmort)+(H363-1)*Imois,Jour1),DATE(YEAR(DebAmort),MONTH(DebAmort)+1+(H363-1)*Imois,0)),DATE(YEAR(DebAmort),MONTH(DebAmort),Jour1+(H363-1)*Ijour)))</f>
        <v/>
      </c>
      <c r="L363" s="147">
        <f t="shared" si="5"/>
        <v>0</v>
      </c>
      <c r="M363" s="135">
        <f>IF(H363&lt;=NoEchMaxi,ROUND(L363*R363,NbDeci),0)</f>
        <v>0</v>
      </c>
      <c r="N363" s="134">
        <f>IF(OR(H363&lt;=Différé,H363&gt;NoEchMaxi),IF(DiffTotal,-M363,0),IF(H363&gt;=NoEchRemb,L363,IF(S363-(M363*EchFIXE)&gt;L363-2,L363,S363-(M363*EchFIXE))))+C363</f>
        <v>0</v>
      </c>
      <c r="O363" s="136">
        <f>IF(OR(L363=0,H363&gt;NoEchMaxi),0,ROUND(FraisF+FraisV*L363,NbDeci))+F363</f>
        <v>0</v>
      </c>
      <c r="P363" s="148">
        <f t="shared" si="3"/>
        <v>0</v>
      </c>
      <c r="Q363" s="1"/>
      <c r="R363" s="138">
        <f>IF(B363&gt;0,IF(TauxActuariel,((B363+1)^(1/NbEchAn))-1,B363/NbEchAn),R362)</f>
        <v>0.04</v>
      </c>
      <c r="S363" s="139">
        <f>IF(E363&gt;0,E363,IF(D363&gt;0,IF(AND(EchFIXE,R363&gt;0),ROUND((L363-C363)*R363/(1-((1+R363)^-D363)),NbDeci),ROUND(L363/D363,NbDeci)),S362))</f>
        <v>6664</v>
      </c>
      <c r="T363" s="1"/>
      <c r="U363" s="1"/>
      <c r="V363" s="1"/>
      <c r="W363" s="1"/>
      <c r="X363" s="1"/>
      <c r="Y363" s="1"/>
      <c r="Z363" s="1"/>
      <c r="AA363" s="1"/>
    </row>
    <row r="364" ht="12.75" customHeight="1">
      <c r="A364" s="1"/>
      <c r="B364" s="140"/>
      <c r="C364" s="141"/>
      <c r="D364" s="142"/>
      <c r="E364" s="143"/>
      <c r="F364" s="144"/>
      <c r="G364" s="1"/>
      <c r="H364" s="131" t="str">
        <f t="shared" si="4"/>
        <v/>
      </c>
      <c r="I364" s="132" t="str">
        <f>IF(L364&gt;0,NbEch+Différé+1-H364,"")</f>
        <v/>
      </c>
      <c r="J364" s="145" t="str">
        <f t="shared" si="2"/>
        <v/>
      </c>
      <c r="K364" s="146" t="str">
        <f>IF(L364=0,"",IF(Ijour=0,MIN(DATE(YEAR(DebAmort),MONTH(DebAmort)+MoisD+(H364-1)*Imois,Jour2),DATE(YEAR(DebAmort),MONTH(DebAmort)+MoisD+1+(H364-1)*Imois,0)),DATE(YEAR(DebAmort),MONTH(DebAmort),Jour1+(H364-1)*Ijour)))</f>
        <v/>
      </c>
      <c r="L364" s="147">
        <f t="shared" si="5"/>
        <v>0</v>
      </c>
      <c r="M364" s="135">
        <f>IF(H364&lt;=NoEchMaxi,ROUND(L364*R364,NbDeci),0)</f>
        <v>0</v>
      </c>
      <c r="N364" s="134">
        <f>IF(OR(H364&lt;=Différé,H364&gt;NoEchMaxi),IF(DiffTotal,-M364,0),IF(H364&gt;=NoEchRemb,L364,IF(S364-(M364*EchFIXE)&gt;L364-2,L364,S364-(M364*EchFIXE))))+C364</f>
        <v>0</v>
      </c>
      <c r="O364" s="136">
        <f>IF(OR(L364=0,H364&gt;NoEchMaxi),0,ROUND(FraisF+FraisV*L364,NbDeci))+F364</f>
        <v>0</v>
      </c>
      <c r="P364" s="148">
        <f t="shared" si="3"/>
        <v>0</v>
      </c>
      <c r="Q364" s="1"/>
      <c r="R364" s="138">
        <f>IF(B364&gt;0,IF(TauxActuariel,((B364+1)^(1/NbEchAn))-1,B364/NbEchAn),R363)</f>
        <v>0.04</v>
      </c>
      <c r="S364" s="139">
        <f>IF(E364&gt;0,E364,IF(D364&gt;0,IF(AND(EchFIXE,R364&gt;0),ROUND((L364-C364)*R364/(1-((1+R364)^-D364)),NbDeci),ROUND(L364/D364,NbDeci)),S363))</f>
        <v>6664</v>
      </c>
      <c r="T364" s="1"/>
      <c r="U364" s="1"/>
      <c r="V364" s="1"/>
      <c r="W364" s="1"/>
      <c r="X364" s="1"/>
      <c r="Y364" s="1"/>
      <c r="Z364" s="1"/>
      <c r="AA364" s="1"/>
    </row>
    <row r="365" ht="12.75" customHeight="1">
      <c r="A365" s="1"/>
      <c r="B365" s="140"/>
      <c r="C365" s="141"/>
      <c r="D365" s="142"/>
      <c r="E365" s="143"/>
      <c r="F365" s="144"/>
      <c r="G365" s="1"/>
      <c r="H365" s="131" t="str">
        <f t="shared" si="4"/>
        <v/>
      </c>
      <c r="I365" s="132" t="str">
        <f>IF(L365&gt;0,NbEch+Différé+1-H365,"")</f>
        <v/>
      </c>
      <c r="J365" s="145" t="str">
        <f t="shared" si="2"/>
        <v/>
      </c>
      <c r="K365" s="146" t="str">
        <f>IF(L365=0,"",IF(Ijour=0,MIN(DATE(YEAR(DebAmort),MONTH(DebAmort)+(H365-1)*Imois,Jour1),DATE(YEAR(DebAmort),MONTH(DebAmort)+1+(H365-1)*Imois,0)),DATE(YEAR(DebAmort),MONTH(DebAmort),Jour1+(H365-1)*Ijour)))</f>
        <v/>
      </c>
      <c r="L365" s="147">
        <f t="shared" si="5"/>
        <v>0</v>
      </c>
      <c r="M365" s="135">
        <f>IF(H365&lt;=NoEchMaxi,ROUND(L365*R365,NbDeci),0)</f>
        <v>0</v>
      </c>
      <c r="N365" s="134">
        <f>IF(OR(H365&lt;=Différé,H365&gt;NoEchMaxi),IF(DiffTotal,-M365,0),IF(H365&gt;=NoEchRemb,L365,IF(S365-(M365*EchFIXE)&gt;L365-2,L365,S365-(M365*EchFIXE))))+C365</f>
        <v>0</v>
      </c>
      <c r="O365" s="136">
        <f>IF(OR(L365=0,H365&gt;NoEchMaxi),0,ROUND(FraisF+FraisV*L365,NbDeci))+F365</f>
        <v>0</v>
      </c>
      <c r="P365" s="148">
        <f t="shared" si="3"/>
        <v>0</v>
      </c>
      <c r="Q365" s="1"/>
      <c r="R365" s="138">
        <f>IF(B365&gt;0,IF(TauxActuariel,((B365+1)^(1/NbEchAn))-1,B365/NbEchAn),R364)</f>
        <v>0.04</v>
      </c>
      <c r="S365" s="139">
        <f>IF(E365&gt;0,E365,IF(D365&gt;0,IF(AND(EchFIXE,R365&gt;0),ROUND((L365-C365)*R365/(1-((1+R365)^-D365)),NbDeci),ROUND(L365/D365,NbDeci)),S364))</f>
        <v>6664</v>
      </c>
      <c r="T365" s="1"/>
      <c r="U365" s="1"/>
      <c r="V365" s="1"/>
      <c r="W365" s="1"/>
      <c r="X365" s="1"/>
      <c r="Y365" s="1"/>
      <c r="Z365" s="1"/>
      <c r="AA365" s="1"/>
    </row>
    <row r="366" ht="12.75" customHeight="1">
      <c r="A366" s="1"/>
      <c r="B366" s="140"/>
      <c r="C366" s="141"/>
      <c r="D366" s="142"/>
      <c r="E366" s="143"/>
      <c r="F366" s="144"/>
      <c r="G366" s="1"/>
      <c r="H366" s="131" t="str">
        <f t="shared" si="4"/>
        <v/>
      </c>
      <c r="I366" s="132" t="str">
        <f>IF(L366&gt;0,NbEch+Différé+1-H366,"")</f>
        <v/>
      </c>
      <c r="J366" s="145" t="str">
        <f t="shared" si="2"/>
        <v/>
      </c>
      <c r="K366" s="146" t="str">
        <f>IF(L366=0,"",IF(Ijour=0,MIN(DATE(YEAR(DebAmort),MONTH(DebAmort)+MoisD+(H366-1)*Imois,Jour2),DATE(YEAR(DebAmort),MONTH(DebAmort)+MoisD+1+(H366-1)*Imois,0)),DATE(YEAR(DebAmort),MONTH(DebAmort),Jour1+(H366-1)*Ijour)))</f>
        <v/>
      </c>
      <c r="L366" s="147">
        <f t="shared" si="5"/>
        <v>0</v>
      </c>
      <c r="M366" s="135">
        <f>IF(H366&lt;=NoEchMaxi,ROUND(L366*R366,NbDeci),0)</f>
        <v>0</v>
      </c>
      <c r="N366" s="134">
        <f>IF(OR(H366&lt;=Différé,H366&gt;NoEchMaxi),IF(DiffTotal,-M366,0),IF(H366&gt;=NoEchRemb,L366,IF(S366-(M366*EchFIXE)&gt;L366-2,L366,S366-(M366*EchFIXE))))+C366</f>
        <v>0</v>
      </c>
      <c r="O366" s="136">
        <f>IF(OR(L366=0,H366&gt;NoEchMaxi),0,ROUND(FraisF+FraisV*L366,NbDeci))+F366</f>
        <v>0</v>
      </c>
      <c r="P366" s="148">
        <f t="shared" si="3"/>
        <v>0</v>
      </c>
      <c r="Q366" s="1"/>
      <c r="R366" s="138">
        <f>IF(B366&gt;0,IF(TauxActuariel,((B366+1)^(1/NbEchAn))-1,B366/NbEchAn),R365)</f>
        <v>0.04</v>
      </c>
      <c r="S366" s="139">
        <f>IF(E366&gt;0,E366,IF(D366&gt;0,IF(AND(EchFIXE,R366&gt;0),ROUND((L366-C366)*R366/(1-((1+R366)^-D366)),NbDeci),ROUND(L366/D366,NbDeci)),S365))</f>
        <v>6664</v>
      </c>
      <c r="T366" s="1"/>
      <c r="U366" s="1"/>
      <c r="V366" s="1"/>
      <c r="W366" s="1"/>
      <c r="X366" s="1"/>
      <c r="Y366" s="1"/>
      <c r="Z366" s="1"/>
      <c r="AA366" s="1"/>
    </row>
    <row r="367" ht="12.75" customHeight="1">
      <c r="A367" s="1"/>
      <c r="B367" s="140"/>
      <c r="C367" s="141"/>
      <c r="D367" s="142"/>
      <c r="E367" s="143"/>
      <c r="F367" s="144"/>
      <c r="G367" s="1"/>
      <c r="H367" s="131" t="str">
        <f t="shared" si="4"/>
        <v/>
      </c>
      <c r="I367" s="132" t="str">
        <f>IF(L367&gt;0,NbEch+Différé+1-H367,"")</f>
        <v/>
      </c>
      <c r="J367" s="145" t="str">
        <f t="shared" si="2"/>
        <v/>
      </c>
      <c r="K367" s="146" t="str">
        <f>IF(L367=0,"",IF(Ijour=0,MIN(DATE(YEAR(DebAmort),MONTH(DebAmort)+(H367-1)*Imois,Jour1),DATE(YEAR(DebAmort),MONTH(DebAmort)+1+(H367-1)*Imois,0)),DATE(YEAR(DebAmort),MONTH(DebAmort),Jour1+(H367-1)*Ijour)))</f>
        <v/>
      </c>
      <c r="L367" s="147">
        <f t="shared" si="5"/>
        <v>0</v>
      </c>
      <c r="M367" s="135">
        <f>IF(H367&lt;=NoEchMaxi,ROUND(L367*R367,NbDeci),0)</f>
        <v>0</v>
      </c>
      <c r="N367" s="134">
        <f>IF(OR(H367&lt;=Différé,H367&gt;NoEchMaxi),IF(DiffTotal,-M367,0),IF(H367&gt;=NoEchRemb,L367,IF(S367-(M367*EchFIXE)&gt;L367-2,L367,S367-(M367*EchFIXE))))+C367</f>
        <v>0</v>
      </c>
      <c r="O367" s="136">
        <f>IF(OR(L367=0,H367&gt;NoEchMaxi),0,ROUND(FraisF+FraisV*L367,NbDeci))+F367</f>
        <v>0</v>
      </c>
      <c r="P367" s="148">
        <f t="shared" si="3"/>
        <v>0</v>
      </c>
      <c r="Q367" s="1"/>
      <c r="R367" s="138">
        <f>IF(B367&gt;0,IF(TauxActuariel,((B367+1)^(1/NbEchAn))-1,B367/NbEchAn),R366)</f>
        <v>0.04</v>
      </c>
      <c r="S367" s="139">
        <f>IF(E367&gt;0,E367,IF(D367&gt;0,IF(AND(EchFIXE,R367&gt;0),ROUND((L367-C367)*R367/(1-((1+R367)^-D367)),NbDeci),ROUND(L367/D367,NbDeci)),S366))</f>
        <v>6664</v>
      </c>
      <c r="T367" s="1"/>
      <c r="U367" s="1"/>
      <c r="V367" s="1"/>
      <c r="W367" s="1"/>
      <c r="X367" s="1"/>
      <c r="Y367" s="1"/>
      <c r="Z367" s="1"/>
      <c r="AA367" s="1"/>
    </row>
    <row r="368" ht="12.75" customHeight="1">
      <c r="A368" s="1"/>
      <c r="B368" s="140"/>
      <c r="C368" s="141"/>
      <c r="D368" s="142"/>
      <c r="E368" s="143"/>
      <c r="F368" s="144"/>
      <c r="G368" s="1"/>
      <c r="H368" s="131" t="str">
        <f t="shared" si="4"/>
        <v/>
      </c>
      <c r="I368" s="132" t="str">
        <f>IF(L368&gt;0,NbEch+Différé+1-H368,"")</f>
        <v/>
      </c>
      <c r="J368" s="145" t="str">
        <f t="shared" si="2"/>
        <v/>
      </c>
      <c r="K368" s="146" t="str">
        <f>IF(L368=0,"",IF(Ijour=0,MIN(DATE(YEAR(DebAmort),MONTH(DebAmort)+MoisD+(H368-1)*Imois,Jour2),DATE(YEAR(DebAmort),MONTH(DebAmort)+MoisD+1+(H368-1)*Imois,0)),DATE(YEAR(DebAmort),MONTH(DebAmort),Jour1+(H368-1)*Ijour)))</f>
        <v/>
      </c>
      <c r="L368" s="147">
        <f t="shared" si="5"/>
        <v>0</v>
      </c>
      <c r="M368" s="135">
        <f>IF(H368&lt;=NoEchMaxi,ROUND(L368*R368,NbDeci),0)</f>
        <v>0</v>
      </c>
      <c r="N368" s="134">
        <f>IF(OR(H368&lt;=Différé,H368&gt;NoEchMaxi),IF(DiffTotal,-M368,0),IF(H368&gt;=NoEchRemb,L368,IF(S368-(M368*EchFIXE)&gt;L368-2,L368,S368-(M368*EchFIXE))))+C368</f>
        <v>0</v>
      </c>
      <c r="O368" s="136">
        <f>IF(OR(L368=0,H368&gt;NoEchMaxi),0,ROUND(FraisF+FraisV*L368,NbDeci))+F368</f>
        <v>0</v>
      </c>
      <c r="P368" s="148">
        <f t="shared" si="3"/>
        <v>0</v>
      </c>
      <c r="Q368" s="1"/>
      <c r="R368" s="138">
        <f>IF(B368&gt;0,IF(TauxActuariel,((B368+1)^(1/NbEchAn))-1,B368/NbEchAn),R367)</f>
        <v>0.04</v>
      </c>
      <c r="S368" s="139">
        <f>IF(E368&gt;0,E368,IF(D368&gt;0,IF(AND(EchFIXE,R368&gt;0),ROUND((L368-C368)*R368/(1-((1+R368)^-D368)),NbDeci),ROUND(L368/D368,NbDeci)),S367))</f>
        <v>6664</v>
      </c>
      <c r="T368" s="1"/>
      <c r="U368" s="1"/>
      <c r="V368" s="1"/>
      <c r="W368" s="1"/>
      <c r="X368" s="1"/>
      <c r="Y368" s="1"/>
      <c r="Z368" s="1"/>
      <c r="AA368" s="1"/>
    </row>
    <row r="369" ht="12.75" customHeight="1">
      <c r="A369" s="1"/>
      <c r="B369" s="140"/>
      <c r="C369" s="141"/>
      <c r="D369" s="142"/>
      <c r="E369" s="143"/>
      <c r="F369" s="144"/>
      <c r="G369" s="1"/>
      <c r="H369" s="131" t="str">
        <f t="shared" si="4"/>
        <v/>
      </c>
      <c r="I369" s="132" t="str">
        <f>IF(L369&gt;0,NbEch+Différé+1-H369,"")</f>
        <v/>
      </c>
      <c r="J369" s="145" t="str">
        <f t="shared" si="2"/>
        <v/>
      </c>
      <c r="K369" s="146" t="str">
        <f>IF(L369=0,"",IF(Ijour=0,MIN(DATE(YEAR(DebAmort),MONTH(DebAmort)+(H369-1)*Imois,Jour1),DATE(YEAR(DebAmort),MONTH(DebAmort)+1+(H369-1)*Imois,0)),DATE(YEAR(DebAmort),MONTH(DebAmort),Jour1+(H369-1)*Ijour)))</f>
        <v/>
      </c>
      <c r="L369" s="147">
        <f t="shared" si="5"/>
        <v>0</v>
      </c>
      <c r="M369" s="135">
        <f>IF(H369&lt;=NoEchMaxi,ROUND(L369*R369,NbDeci),0)</f>
        <v>0</v>
      </c>
      <c r="N369" s="134">
        <f>IF(OR(H369&lt;=Différé,H369&gt;NoEchMaxi),IF(DiffTotal,-M369,0),IF(H369&gt;=NoEchRemb,L369,IF(S369-(M369*EchFIXE)&gt;L369-2,L369,S369-(M369*EchFIXE))))+C369</f>
        <v>0</v>
      </c>
      <c r="O369" s="136">
        <f>IF(OR(L369=0,H369&gt;NoEchMaxi),0,ROUND(FraisF+FraisV*L369,NbDeci))+F369</f>
        <v>0</v>
      </c>
      <c r="P369" s="148">
        <f t="shared" si="3"/>
        <v>0</v>
      </c>
      <c r="Q369" s="1"/>
      <c r="R369" s="138">
        <f>IF(B369&gt;0,IF(TauxActuariel,((B369+1)^(1/NbEchAn))-1,B369/NbEchAn),R368)</f>
        <v>0.04</v>
      </c>
      <c r="S369" s="139">
        <f>IF(E369&gt;0,E369,IF(D369&gt;0,IF(AND(EchFIXE,R369&gt;0),ROUND((L369-C369)*R369/(1-((1+R369)^-D369)),NbDeci),ROUND(L369/D369,NbDeci)),S368))</f>
        <v>6664</v>
      </c>
      <c r="T369" s="1"/>
      <c r="U369" s="1"/>
      <c r="V369" s="1"/>
      <c r="W369" s="1"/>
      <c r="X369" s="1"/>
      <c r="Y369" s="1"/>
      <c r="Z369" s="1"/>
      <c r="AA369" s="1"/>
    </row>
    <row r="370" ht="12.75" customHeight="1">
      <c r="A370" s="1"/>
      <c r="B370" s="140"/>
      <c r="C370" s="141"/>
      <c r="D370" s="142"/>
      <c r="E370" s="143"/>
      <c r="F370" s="144"/>
      <c r="G370" s="1"/>
      <c r="H370" s="131" t="str">
        <f t="shared" si="4"/>
        <v/>
      </c>
      <c r="I370" s="132" t="str">
        <f>IF(L370&gt;0,NbEch+Différé+1-H370,"")</f>
        <v/>
      </c>
      <c r="J370" s="145" t="str">
        <f t="shared" si="2"/>
        <v/>
      </c>
      <c r="K370" s="146" t="str">
        <f>IF(L370=0,"",IF(Ijour=0,MIN(DATE(YEAR(DebAmort),MONTH(DebAmort)+MoisD+(H370-1)*Imois,Jour2),DATE(YEAR(DebAmort),MONTH(DebAmort)+MoisD+1+(H370-1)*Imois,0)),DATE(YEAR(DebAmort),MONTH(DebAmort),Jour1+(H370-1)*Ijour)))</f>
        <v/>
      </c>
      <c r="L370" s="147">
        <f t="shared" si="5"/>
        <v>0</v>
      </c>
      <c r="M370" s="135">
        <f>IF(H370&lt;=NoEchMaxi,ROUND(L370*R370,NbDeci),0)</f>
        <v>0</v>
      </c>
      <c r="N370" s="134">
        <f>IF(OR(H370&lt;=Différé,H370&gt;NoEchMaxi),IF(DiffTotal,-M370,0),IF(H370&gt;=NoEchRemb,L370,IF(S370-(M370*EchFIXE)&gt;L370-2,L370,S370-(M370*EchFIXE))))+C370</f>
        <v>0</v>
      </c>
      <c r="O370" s="136">
        <f>IF(OR(L370=0,H370&gt;NoEchMaxi),0,ROUND(FraisF+FraisV*L370,NbDeci))+F370</f>
        <v>0</v>
      </c>
      <c r="P370" s="148">
        <f t="shared" si="3"/>
        <v>0</v>
      </c>
      <c r="Q370" s="1"/>
      <c r="R370" s="138">
        <f>IF(B370&gt;0,IF(TauxActuariel,((B370+1)^(1/NbEchAn))-1,B370/NbEchAn),R369)</f>
        <v>0.04</v>
      </c>
      <c r="S370" s="139">
        <f>IF(E370&gt;0,E370,IF(D370&gt;0,IF(AND(EchFIXE,R370&gt;0),ROUND((L370-C370)*R370/(1-((1+R370)^-D370)),NbDeci),ROUND(L370/D370,NbDeci)),S369))</f>
        <v>6664</v>
      </c>
      <c r="T370" s="1"/>
      <c r="U370" s="1"/>
      <c r="V370" s="1"/>
      <c r="W370" s="1"/>
      <c r="X370" s="1"/>
      <c r="Y370" s="1"/>
      <c r="Z370" s="1"/>
      <c r="AA370" s="1"/>
    </row>
    <row r="371" ht="12.75" customHeight="1">
      <c r="A371" s="1"/>
      <c r="B371" s="140"/>
      <c r="C371" s="141"/>
      <c r="D371" s="142"/>
      <c r="E371" s="143"/>
      <c r="F371" s="144"/>
      <c r="G371" s="1"/>
      <c r="H371" s="131" t="str">
        <f t="shared" si="4"/>
        <v/>
      </c>
      <c r="I371" s="132" t="str">
        <f>IF(L371&gt;0,NbEch+Différé+1-H371,"")</f>
        <v/>
      </c>
      <c r="J371" s="145" t="str">
        <f t="shared" si="2"/>
        <v/>
      </c>
      <c r="K371" s="146" t="str">
        <f>IF(L371=0,"",IF(Ijour=0,MIN(DATE(YEAR(DebAmort),MONTH(DebAmort)+(H371-1)*Imois,Jour1),DATE(YEAR(DebAmort),MONTH(DebAmort)+1+(H371-1)*Imois,0)),DATE(YEAR(DebAmort),MONTH(DebAmort),Jour1+(H371-1)*Ijour)))</f>
        <v/>
      </c>
      <c r="L371" s="147">
        <f t="shared" si="5"/>
        <v>0</v>
      </c>
      <c r="M371" s="135">
        <f>IF(H371&lt;=NoEchMaxi,ROUND(L371*R371,NbDeci),0)</f>
        <v>0</v>
      </c>
      <c r="N371" s="134">
        <f>IF(OR(H371&lt;=Différé,H371&gt;NoEchMaxi),IF(DiffTotal,-M371,0),IF(H371&gt;=NoEchRemb,L371,IF(S371-(M371*EchFIXE)&gt;L371-2,L371,S371-(M371*EchFIXE))))+C371</f>
        <v>0</v>
      </c>
      <c r="O371" s="136">
        <f>IF(OR(L371=0,H371&gt;NoEchMaxi),0,ROUND(FraisF+FraisV*L371,NbDeci))+F371</f>
        <v>0</v>
      </c>
      <c r="P371" s="148">
        <f t="shared" si="3"/>
        <v>0</v>
      </c>
      <c r="Q371" s="1"/>
      <c r="R371" s="138">
        <f>IF(B371&gt;0,IF(TauxActuariel,((B371+1)^(1/NbEchAn))-1,B371/NbEchAn),R370)</f>
        <v>0.04</v>
      </c>
      <c r="S371" s="139">
        <f>IF(E371&gt;0,E371,IF(D371&gt;0,IF(AND(EchFIXE,R371&gt;0),ROUND((L371-C371)*R371/(1-((1+R371)^-D371)),NbDeci),ROUND(L371/D371,NbDeci)),S370))</f>
        <v>6664</v>
      </c>
      <c r="T371" s="1"/>
      <c r="U371" s="1"/>
      <c r="V371" s="1"/>
      <c r="W371" s="1"/>
      <c r="X371" s="1"/>
      <c r="Y371" s="1"/>
      <c r="Z371" s="1"/>
      <c r="AA371" s="1"/>
    </row>
    <row r="372" ht="12.75" customHeight="1">
      <c r="A372" s="1"/>
      <c r="B372" s="140"/>
      <c r="C372" s="141"/>
      <c r="D372" s="142"/>
      <c r="E372" s="143"/>
      <c r="F372" s="144"/>
      <c r="G372" s="1"/>
      <c r="H372" s="131" t="str">
        <f t="shared" si="4"/>
        <v/>
      </c>
      <c r="I372" s="132" t="str">
        <f>IF(L372&gt;0,NbEch+Différé+1-H372,"")</f>
        <v/>
      </c>
      <c r="J372" s="145" t="str">
        <f t="shared" si="2"/>
        <v/>
      </c>
      <c r="K372" s="146" t="str">
        <f>IF(L372=0,"",IF(Ijour=0,MIN(DATE(YEAR(DebAmort),MONTH(DebAmort)+MoisD+(H372-1)*Imois,Jour2),DATE(YEAR(DebAmort),MONTH(DebAmort)+MoisD+1+(H372-1)*Imois,0)),DATE(YEAR(DebAmort),MONTH(DebAmort),Jour1+(H372-1)*Ijour)))</f>
        <v/>
      </c>
      <c r="L372" s="147">
        <f t="shared" si="5"/>
        <v>0</v>
      </c>
      <c r="M372" s="135">
        <f>IF(H372&lt;=NoEchMaxi,ROUND(L372*R372,NbDeci),0)</f>
        <v>0</v>
      </c>
      <c r="N372" s="134">
        <f>IF(OR(H372&lt;=Différé,H372&gt;NoEchMaxi),IF(DiffTotal,-M372,0),IF(H372&gt;=NoEchRemb,L372,IF(S372-(M372*EchFIXE)&gt;L372-2,L372,S372-(M372*EchFIXE))))+C372</f>
        <v>0</v>
      </c>
      <c r="O372" s="136">
        <f>IF(OR(L372=0,H372&gt;NoEchMaxi),0,ROUND(FraisF+FraisV*L372,NbDeci))+F372</f>
        <v>0</v>
      </c>
      <c r="P372" s="148">
        <f t="shared" si="3"/>
        <v>0</v>
      </c>
      <c r="Q372" s="1"/>
      <c r="R372" s="138">
        <f>IF(B372&gt;0,IF(TauxActuariel,((B372+1)^(1/NbEchAn))-1,B372/NbEchAn),R371)</f>
        <v>0.04</v>
      </c>
      <c r="S372" s="139">
        <f>IF(E372&gt;0,E372,IF(D372&gt;0,IF(AND(EchFIXE,R372&gt;0),ROUND((L372-C372)*R372/(1-((1+R372)^-D372)),NbDeci),ROUND(L372/D372,NbDeci)),S371))</f>
        <v>6664</v>
      </c>
      <c r="T372" s="1"/>
      <c r="U372" s="1"/>
      <c r="V372" s="1"/>
      <c r="W372" s="1"/>
      <c r="X372" s="1"/>
      <c r="Y372" s="1"/>
      <c r="Z372" s="1"/>
      <c r="AA372" s="1"/>
    </row>
    <row r="373" ht="12.75" customHeight="1">
      <c r="A373" s="1"/>
      <c r="B373" s="140"/>
      <c r="C373" s="141"/>
      <c r="D373" s="142"/>
      <c r="E373" s="143"/>
      <c r="F373" s="144"/>
      <c r="G373" s="1"/>
      <c r="H373" s="131" t="str">
        <f t="shared" si="4"/>
        <v/>
      </c>
      <c r="I373" s="132" t="str">
        <f>IF(L373&gt;0,NbEch+Différé+1-H373,"")</f>
        <v/>
      </c>
      <c r="J373" s="145" t="str">
        <f t="shared" si="2"/>
        <v/>
      </c>
      <c r="K373" s="146" t="str">
        <f>IF(L373=0,"",IF(Ijour=0,MIN(DATE(YEAR(DebAmort),MONTH(DebAmort)+(H373-1)*Imois,Jour1),DATE(YEAR(DebAmort),MONTH(DebAmort)+1+(H373-1)*Imois,0)),DATE(YEAR(DebAmort),MONTH(DebAmort),Jour1+(H373-1)*Ijour)))</f>
        <v/>
      </c>
      <c r="L373" s="147">
        <f t="shared" si="5"/>
        <v>0</v>
      </c>
      <c r="M373" s="135">
        <f>IF(H373&lt;=NoEchMaxi,ROUND(L373*R373,NbDeci),0)</f>
        <v>0</v>
      </c>
      <c r="N373" s="134">
        <f>IF(OR(H373&lt;=Différé,H373&gt;NoEchMaxi),IF(DiffTotal,-M373,0),IF(H373&gt;=NoEchRemb,L373,IF(S373-(M373*EchFIXE)&gt;L373-2,L373,S373-(M373*EchFIXE))))+C373</f>
        <v>0</v>
      </c>
      <c r="O373" s="136">
        <f>IF(OR(L373=0,H373&gt;NoEchMaxi),0,ROUND(FraisF+FraisV*L373,NbDeci))+F373</f>
        <v>0</v>
      </c>
      <c r="P373" s="148">
        <f t="shared" si="3"/>
        <v>0</v>
      </c>
      <c r="Q373" s="1"/>
      <c r="R373" s="138">
        <f>IF(B373&gt;0,IF(TauxActuariel,((B373+1)^(1/NbEchAn))-1,B373/NbEchAn),R372)</f>
        <v>0.04</v>
      </c>
      <c r="S373" s="139">
        <f>IF(E373&gt;0,E373,IF(D373&gt;0,IF(AND(EchFIXE,R373&gt;0),ROUND((L373-C373)*R373/(1-((1+R373)^-D373)),NbDeci),ROUND(L373/D373,NbDeci)),S372))</f>
        <v>6664</v>
      </c>
      <c r="T373" s="1"/>
      <c r="U373" s="1"/>
      <c r="V373" s="1"/>
      <c r="W373" s="1"/>
      <c r="X373" s="1"/>
      <c r="Y373" s="1"/>
      <c r="Z373" s="1"/>
      <c r="AA373" s="1"/>
    </row>
    <row r="374" ht="12.75" customHeight="1">
      <c r="A374" s="1"/>
      <c r="B374" s="140"/>
      <c r="C374" s="141"/>
      <c r="D374" s="142"/>
      <c r="E374" s="143"/>
      <c r="F374" s="144"/>
      <c r="G374" s="1"/>
      <c r="H374" s="131" t="str">
        <f t="shared" si="4"/>
        <v/>
      </c>
      <c r="I374" s="132" t="str">
        <f>IF(L374&gt;0,NbEch+Différé+1-H374,"")</f>
        <v/>
      </c>
      <c r="J374" s="145" t="str">
        <f t="shared" si="2"/>
        <v/>
      </c>
      <c r="K374" s="146" t="str">
        <f>IF(L374=0,"",IF(Ijour=0,MIN(DATE(YEAR(DebAmort),MONTH(DebAmort)+MoisD+(H374-1)*Imois,Jour2),DATE(YEAR(DebAmort),MONTH(DebAmort)+MoisD+1+(H374-1)*Imois,0)),DATE(YEAR(DebAmort),MONTH(DebAmort),Jour1+(H374-1)*Ijour)))</f>
        <v/>
      </c>
      <c r="L374" s="147">
        <f t="shared" si="5"/>
        <v>0</v>
      </c>
      <c r="M374" s="135">
        <f>IF(H374&lt;=NoEchMaxi,ROUND(L374*R374,NbDeci),0)</f>
        <v>0</v>
      </c>
      <c r="N374" s="134">
        <f>IF(OR(H374&lt;=Différé,H374&gt;NoEchMaxi),IF(DiffTotal,-M374,0),IF(H374&gt;=NoEchRemb,L374,IF(S374-(M374*EchFIXE)&gt;L374-2,L374,S374-(M374*EchFIXE))))+C374</f>
        <v>0</v>
      </c>
      <c r="O374" s="136">
        <f>IF(OR(L374=0,H374&gt;NoEchMaxi),0,ROUND(FraisF+FraisV*L374,NbDeci))+F374</f>
        <v>0</v>
      </c>
      <c r="P374" s="148">
        <f t="shared" si="3"/>
        <v>0</v>
      </c>
      <c r="Q374" s="1"/>
      <c r="R374" s="138">
        <f>IF(B374&gt;0,IF(TauxActuariel,((B374+1)^(1/NbEchAn))-1,B374/NbEchAn),R373)</f>
        <v>0.04</v>
      </c>
      <c r="S374" s="139">
        <f>IF(E374&gt;0,E374,IF(D374&gt;0,IF(AND(EchFIXE,R374&gt;0),ROUND((L374-C374)*R374/(1-((1+R374)^-D374)),NbDeci),ROUND(L374/D374,NbDeci)),S373))</f>
        <v>6664</v>
      </c>
      <c r="T374" s="1"/>
      <c r="U374" s="1"/>
      <c r="V374" s="1"/>
      <c r="W374" s="1"/>
      <c r="X374" s="1"/>
      <c r="Y374" s="1"/>
      <c r="Z374" s="1"/>
      <c r="AA374" s="1"/>
    </row>
    <row r="375" ht="12.75" customHeight="1">
      <c r="A375" s="1"/>
      <c r="B375" s="140"/>
      <c r="C375" s="141"/>
      <c r="D375" s="142"/>
      <c r="E375" s="143"/>
      <c r="F375" s="144"/>
      <c r="G375" s="1"/>
      <c r="H375" s="131" t="str">
        <f t="shared" si="4"/>
        <v/>
      </c>
      <c r="I375" s="132" t="str">
        <f>IF(L375&gt;0,NbEch+Différé+1-H375,"")</f>
        <v/>
      </c>
      <c r="J375" s="145" t="str">
        <f t="shared" si="2"/>
        <v/>
      </c>
      <c r="K375" s="146" t="str">
        <f>IF(L375=0,"",IF(Ijour=0,MIN(DATE(YEAR(DebAmort),MONTH(DebAmort)+(H375-1)*Imois,Jour1),DATE(YEAR(DebAmort),MONTH(DebAmort)+1+(H375-1)*Imois,0)),DATE(YEAR(DebAmort),MONTH(DebAmort),Jour1+(H375-1)*Ijour)))</f>
        <v/>
      </c>
      <c r="L375" s="147">
        <f t="shared" si="5"/>
        <v>0</v>
      </c>
      <c r="M375" s="135">
        <f>IF(H375&lt;=NoEchMaxi,ROUND(L375*R375,NbDeci),0)</f>
        <v>0</v>
      </c>
      <c r="N375" s="134">
        <f>IF(OR(H375&lt;=Différé,H375&gt;NoEchMaxi),IF(DiffTotal,-M375,0),IF(H375&gt;=NoEchRemb,L375,IF(S375-(M375*EchFIXE)&gt;L375-2,L375,S375-(M375*EchFIXE))))+C375</f>
        <v>0</v>
      </c>
      <c r="O375" s="136">
        <f>IF(OR(L375=0,H375&gt;NoEchMaxi),0,ROUND(FraisF+FraisV*L375,NbDeci))+F375</f>
        <v>0</v>
      </c>
      <c r="P375" s="148">
        <f t="shared" si="3"/>
        <v>0</v>
      </c>
      <c r="Q375" s="1"/>
      <c r="R375" s="138">
        <f>IF(B375&gt;0,IF(TauxActuariel,((B375+1)^(1/NbEchAn))-1,B375/NbEchAn),R374)</f>
        <v>0.04</v>
      </c>
      <c r="S375" s="139">
        <f>IF(E375&gt;0,E375,IF(D375&gt;0,IF(AND(EchFIXE,R375&gt;0),ROUND((L375-C375)*R375/(1-((1+R375)^-D375)),NbDeci),ROUND(L375/D375,NbDeci)),S374))</f>
        <v>6664</v>
      </c>
      <c r="T375" s="1"/>
      <c r="U375" s="1"/>
      <c r="V375" s="1"/>
      <c r="W375" s="1"/>
      <c r="X375" s="1"/>
      <c r="Y375" s="1"/>
      <c r="Z375" s="1"/>
      <c r="AA375" s="1"/>
    </row>
    <row r="376" ht="12.75" customHeight="1">
      <c r="A376" s="1"/>
      <c r="B376" s="140"/>
      <c r="C376" s="141"/>
      <c r="D376" s="142"/>
      <c r="E376" s="143"/>
      <c r="F376" s="144"/>
      <c r="G376" s="1"/>
      <c r="H376" s="131" t="str">
        <f t="shared" si="4"/>
        <v/>
      </c>
      <c r="I376" s="132" t="str">
        <f>IF(L376&gt;0,NbEch+Différé+1-H376,"")</f>
        <v/>
      </c>
      <c r="J376" s="145" t="str">
        <f t="shared" si="2"/>
        <v/>
      </c>
      <c r="K376" s="146" t="str">
        <f>IF(L376=0,"",IF(Ijour=0,MIN(DATE(YEAR(DebAmort),MONTH(DebAmort)+MoisD+(H376-1)*Imois,Jour2),DATE(YEAR(DebAmort),MONTH(DebAmort)+MoisD+1+(H376-1)*Imois,0)),DATE(YEAR(DebAmort),MONTH(DebAmort),Jour1+(H376-1)*Ijour)))</f>
        <v/>
      </c>
      <c r="L376" s="147">
        <f t="shared" si="5"/>
        <v>0</v>
      </c>
      <c r="M376" s="135">
        <f>IF(H376&lt;=NoEchMaxi,ROUND(L376*R376,NbDeci),0)</f>
        <v>0</v>
      </c>
      <c r="N376" s="134">
        <f>IF(OR(H376&lt;=Différé,H376&gt;NoEchMaxi),IF(DiffTotal,-M376,0),IF(H376&gt;=NoEchRemb,L376,IF(S376-(M376*EchFIXE)&gt;L376-2,L376,S376-(M376*EchFIXE))))+C376</f>
        <v>0</v>
      </c>
      <c r="O376" s="136">
        <f>IF(OR(L376=0,H376&gt;NoEchMaxi),0,ROUND(FraisF+FraisV*L376,NbDeci))+F376</f>
        <v>0</v>
      </c>
      <c r="P376" s="148">
        <f t="shared" si="3"/>
        <v>0</v>
      </c>
      <c r="Q376" s="1"/>
      <c r="R376" s="138">
        <f>IF(B376&gt;0,IF(TauxActuariel,((B376+1)^(1/NbEchAn))-1,B376/NbEchAn),R375)</f>
        <v>0.04</v>
      </c>
      <c r="S376" s="139">
        <f>IF(E376&gt;0,E376,IF(D376&gt;0,IF(AND(EchFIXE,R376&gt;0),ROUND((L376-C376)*R376/(1-((1+R376)^-D376)),NbDeci),ROUND(L376/D376,NbDeci)),S375))</f>
        <v>6664</v>
      </c>
      <c r="T376" s="1"/>
      <c r="U376" s="1"/>
      <c r="V376" s="1"/>
      <c r="W376" s="1"/>
      <c r="X376" s="1"/>
      <c r="Y376" s="1"/>
      <c r="Z376" s="1"/>
      <c r="AA376" s="1"/>
    </row>
    <row r="377" ht="12.75" customHeight="1">
      <c r="A377" s="1"/>
      <c r="B377" s="140"/>
      <c r="C377" s="141"/>
      <c r="D377" s="142"/>
      <c r="E377" s="143"/>
      <c r="F377" s="144"/>
      <c r="G377" s="1"/>
      <c r="H377" s="131" t="str">
        <f t="shared" si="4"/>
        <v/>
      </c>
      <c r="I377" s="132" t="str">
        <f>IF(L377&gt;0,NbEch+Différé+1-H377,"")</f>
        <v/>
      </c>
      <c r="J377" s="145" t="str">
        <f t="shared" si="2"/>
        <v/>
      </c>
      <c r="K377" s="146" t="str">
        <f>IF(L377=0,"",IF(Ijour=0,MIN(DATE(YEAR(DebAmort),MONTH(DebAmort)+(H377-1)*Imois,Jour1),DATE(YEAR(DebAmort),MONTH(DebAmort)+1+(H377-1)*Imois,0)),DATE(YEAR(DebAmort),MONTH(DebAmort),Jour1+(H377-1)*Ijour)))</f>
        <v/>
      </c>
      <c r="L377" s="147">
        <f t="shared" si="5"/>
        <v>0</v>
      </c>
      <c r="M377" s="135">
        <f>IF(H377&lt;=NoEchMaxi,ROUND(L377*R377,NbDeci),0)</f>
        <v>0</v>
      </c>
      <c r="N377" s="134">
        <f>IF(OR(H377&lt;=Différé,H377&gt;NoEchMaxi),IF(DiffTotal,-M377,0),IF(H377&gt;=NoEchRemb,L377,IF(S377-(M377*EchFIXE)&gt;L377-2,L377,S377-(M377*EchFIXE))))+C377</f>
        <v>0</v>
      </c>
      <c r="O377" s="136">
        <f>IF(OR(L377=0,H377&gt;NoEchMaxi),0,ROUND(FraisF+FraisV*L377,NbDeci))+F377</f>
        <v>0</v>
      </c>
      <c r="P377" s="148">
        <f t="shared" si="3"/>
        <v>0</v>
      </c>
      <c r="Q377" s="1"/>
      <c r="R377" s="138">
        <f>IF(B377&gt;0,IF(TauxActuariel,((B377+1)^(1/NbEchAn))-1,B377/NbEchAn),R376)</f>
        <v>0.04</v>
      </c>
      <c r="S377" s="139">
        <f>IF(E377&gt;0,E377,IF(D377&gt;0,IF(AND(EchFIXE,R377&gt;0),ROUND((L377-C377)*R377/(1-((1+R377)^-D377)),NbDeci),ROUND(L377/D377,NbDeci)),S376))</f>
        <v>6664</v>
      </c>
      <c r="T377" s="1"/>
      <c r="U377" s="1"/>
      <c r="V377" s="1"/>
      <c r="W377" s="1"/>
      <c r="X377" s="1"/>
      <c r="Y377" s="1"/>
      <c r="Z377" s="1"/>
      <c r="AA377" s="1"/>
    </row>
    <row r="378" ht="12.75" customHeight="1">
      <c r="A378" s="1"/>
      <c r="B378" s="140"/>
      <c r="C378" s="141"/>
      <c r="D378" s="142"/>
      <c r="E378" s="143"/>
      <c r="F378" s="144"/>
      <c r="G378" s="1"/>
      <c r="H378" s="131" t="str">
        <f t="shared" si="4"/>
        <v/>
      </c>
      <c r="I378" s="132" t="str">
        <f>IF(L378&gt;0,NbEch+Différé+1-H378,"")</f>
        <v/>
      </c>
      <c r="J378" s="145" t="str">
        <f t="shared" si="2"/>
        <v/>
      </c>
      <c r="K378" s="146" t="str">
        <f>IF(L378=0,"",IF(Ijour=0,MIN(DATE(YEAR(DebAmort),MONTH(DebAmort)+MoisD+(H378-1)*Imois,Jour2),DATE(YEAR(DebAmort),MONTH(DebAmort)+MoisD+1+(H378-1)*Imois,0)),DATE(YEAR(DebAmort),MONTH(DebAmort),Jour1+(H378-1)*Ijour)))</f>
        <v/>
      </c>
      <c r="L378" s="147">
        <f t="shared" si="5"/>
        <v>0</v>
      </c>
      <c r="M378" s="135">
        <f>IF(H378&lt;=NoEchMaxi,ROUND(L378*R378,NbDeci),0)</f>
        <v>0</v>
      </c>
      <c r="N378" s="134">
        <f>IF(OR(H378&lt;=Différé,H378&gt;NoEchMaxi),IF(DiffTotal,-M378,0),IF(H378&gt;=NoEchRemb,L378,IF(S378-(M378*EchFIXE)&gt;L378-2,L378,S378-(M378*EchFIXE))))+C378</f>
        <v>0</v>
      </c>
      <c r="O378" s="136">
        <f>IF(OR(L378=0,H378&gt;NoEchMaxi),0,ROUND(FraisF+FraisV*L378,NbDeci))+F378</f>
        <v>0</v>
      </c>
      <c r="P378" s="148">
        <f t="shared" si="3"/>
        <v>0</v>
      </c>
      <c r="Q378" s="1"/>
      <c r="R378" s="138">
        <f>IF(B378&gt;0,IF(TauxActuariel,((B378+1)^(1/NbEchAn))-1,B378/NbEchAn),R377)</f>
        <v>0.04</v>
      </c>
      <c r="S378" s="139">
        <f>IF(E378&gt;0,E378,IF(D378&gt;0,IF(AND(EchFIXE,R378&gt;0),ROUND((L378-C378)*R378/(1-((1+R378)^-D378)),NbDeci),ROUND(L378/D378,NbDeci)),S377))</f>
        <v>6664</v>
      </c>
      <c r="T378" s="1"/>
      <c r="U378" s="1"/>
      <c r="V378" s="1"/>
      <c r="W378" s="1"/>
      <c r="X378" s="1"/>
      <c r="Y378" s="1"/>
      <c r="Z378" s="1"/>
      <c r="AA378" s="1"/>
    </row>
    <row r="379" ht="12.75" customHeight="1">
      <c r="A379" s="1"/>
      <c r="B379" s="140"/>
      <c r="C379" s="141"/>
      <c r="D379" s="142"/>
      <c r="E379" s="143"/>
      <c r="F379" s="144"/>
      <c r="G379" s="1"/>
      <c r="H379" s="131" t="str">
        <f t="shared" si="4"/>
        <v/>
      </c>
      <c r="I379" s="132" t="str">
        <f>IF(L379&gt;0,NbEch+Différé+1-H379,"")</f>
        <v/>
      </c>
      <c r="J379" s="145" t="str">
        <f t="shared" si="2"/>
        <v/>
      </c>
      <c r="K379" s="146" t="str">
        <f>IF(L379=0,"",IF(Ijour=0,MIN(DATE(YEAR(DebAmort),MONTH(DebAmort)+(H379-1)*Imois,Jour1),DATE(YEAR(DebAmort),MONTH(DebAmort)+1+(H379-1)*Imois,0)),DATE(YEAR(DebAmort),MONTH(DebAmort),Jour1+(H379-1)*Ijour)))</f>
        <v/>
      </c>
      <c r="L379" s="147">
        <f t="shared" si="5"/>
        <v>0</v>
      </c>
      <c r="M379" s="135">
        <f>IF(H379&lt;=NoEchMaxi,ROUND(L379*R379,NbDeci),0)</f>
        <v>0</v>
      </c>
      <c r="N379" s="134">
        <f>IF(OR(H379&lt;=Différé,H379&gt;NoEchMaxi),IF(DiffTotal,-M379,0),IF(H379&gt;=NoEchRemb,L379,IF(S379-(M379*EchFIXE)&gt;L379-2,L379,S379-(M379*EchFIXE))))+C379</f>
        <v>0</v>
      </c>
      <c r="O379" s="136">
        <f>IF(OR(L379=0,H379&gt;NoEchMaxi),0,ROUND(FraisF+FraisV*L379,NbDeci))+F379</f>
        <v>0</v>
      </c>
      <c r="P379" s="148">
        <f t="shared" si="3"/>
        <v>0</v>
      </c>
      <c r="Q379" s="1"/>
      <c r="R379" s="138">
        <f>IF(B379&gt;0,IF(TauxActuariel,((B379+1)^(1/NbEchAn))-1,B379/NbEchAn),R378)</f>
        <v>0.04</v>
      </c>
      <c r="S379" s="139">
        <f>IF(E379&gt;0,E379,IF(D379&gt;0,IF(AND(EchFIXE,R379&gt;0),ROUND((L379-C379)*R379/(1-((1+R379)^-D379)),NbDeci),ROUND(L379/D379,NbDeci)),S378))</f>
        <v>6664</v>
      </c>
      <c r="T379" s="1"/>
      <c r="U379" s="1"/>
      <c r="V379" s="1"/>
      <c r="W379" s="1"/>
      <c r="X379" s="1"/>
      <c r="Y379" s="1"/>
      <c r="Z379" s="1"/>
      <c r="AA379" s="1"/>
    </row>
    <row r="380" ht="12.75" customHeight="1">
      <c r="A380" s="1"/>
      <c r="B380" s="140"/>
      <c r="C380" s="141"/>
      <c r="D380" s="142"/>
      <c r="E380" s="143"/>
      <c r="F380" s="144"/>
      <c r="G380" s="1"/>
      <c r="H380" s="131" t="str">
        <f t="shared" si="4"/>
        <v/>
      </c>
      <c r="I380" s="132" t="str">
        <f>IF(L380&gt;0,NbEch+Différé+1-H380,"")</f>
        <v/>
      </c>
      <c r="J380" s="145" t="str">
        <f t="shared" si="2"/>
        <v/>
      </c>
      <c r="K380" s="146" t="str">
        <f>IF(L380=0,"",IF(Ijour=0,MIN(DATE(YEAR(DebAmort),MONTH(DebAmort)+MoisD+(H380-1)*Imois,Jour2),DATE(YEAR(DebAmort),MONTH(DebAmort)+MoisD+1+(H380-1)*Imois,0)),DATE(YEAR(DebAmort),MONTH(DebAmort),Jour1+(H380-1)*Ijour)))</f>
        <v/>
      </c>
      <c r="L380" s="147">
        <f t="shared" si="5"/>
        <v>0</v>
      </c>
      <c r="M380" s="135">
        <f>IF(H380&lt;=NoEchMaxi,ROUND(L380*R380,NbDeci),0)</f>
        <v>0</v>
      </c>
      <c r="N380" s="134">
        <f>IF(OR(H380&lt;=Différé,H380&gt;NoEchMaxi),IF(DiffTotal,-M380,0),IF(H380&gt;=NoEchRemb,L380,IF(S380-(M380*EchFIXE)&gt;L380-2,L380,S380-(M380*EchFIXE))))+C380</f>
        <v>0</v>
      </c>
      <c r="O380" s="136">
        <f>IF(OR(L380=0,H380&gt;NoEchMaxi),0,ROUND(FraisF+FraisV*L380,NbDeci))+F380</f>
        <v>0</v>
      </c>
      <c r="P380" s="148">
        <f t="shared" si="3"/>
        <v>0</v>
      </c>
      <c r="Q380" s="1"/>
      <c r="R380" s="138">
        <f>IF(B380&gt;0,IF(TauxActuariel,((B380+1)^(1/NbEchAn))-1,B380/NbEchAn),R379)</f>
        <v>0.04</v>
      </c>
      <c r="S380" s="139">
        <f>IF(E380&gt;0,E380,IF(D380&gt;0,IF(AND(EchFIXE,R380&gt;0),ROUND((L380-C380)*R380/(1-((1+R380)^-D380)),NbDeci),ROUND(L380/D380,NbDeci)),S379))</f>
        <v>6664</v>
      </c>
      <c r="T380" s="1"/>
      <c r="U380" s="1"/>
      <c r="V380" s="1"/>
      <c r="W380" s="1"/>
      <c r="X380" s="1"/>
      <c r="Y380" s="1"/>
      <c r="Z380" s="1"/>
      <c r="AA380" s="1"/>
    </row>
    <row r="381" ht="12.75" customHeight="1">
      <c r="A381" s="1"/>
      <c r="B381" s="140"/>
      <c r="C381" s="141"/>
      <c r="D381" s="142"/>
      <c r="E381" s="143"/>
      <c r="F381" s="144"/>
      <c r="G381" s="1"/>
      <c r="H381" s="131" t="str">
        <f t="shared" si="4"/>
        <v/>
      </c>
      <c r="I381" s="132" t="str">
        <f>IF(L381&gt;0,NbEch+Différé+1-H381,"")</f>
        <v/>
      </c>
      <c r="J381" s="145" t="str">
        <f t="shared" si="2"/>
        <v/>
      </c>
      <c r="K381" s="146" t="str">
        <f>IF(L381=0,"",IF(Ijour=0,MIN(DATE(YEAR(DebAmort),MONTH(DebAmort)+(H381-1)*Imois,Jour1),DATE(YEAR(DebAmort),MONTH(DebAmort)+1+(H381-1)*Imois,0)),DATE(YEAR(DebAmort),MONTH(DebAmort),Jour1+(H381-1)*Ijour)))</f>
        <v/>
      </c>
      <c r="L381" s="147">
        <f t="shared" si="5"/>
        <v>0</v>
      </c>
      <c r="M381" s="135">
        <f>IF(H381&lt;=NoEchMaxi,ROUND(L381*R381,NbDeci),0)</f>
        <v>0</v>
      </c>
      <c r="N381" s="134">
        <f>IF(OR(H381&lt;=Différé,H381&gt;NoEchMaxi),IF(DiffTotal,-M381,0),IF(H381&gt;=NoEchRemb,L381,IF(S381-(M381*EchFIXE)&gt;L381-2,L381,S381-(M381*EchFIXE))))+C381</f>
        <v>0</v>
      </c>
      <c r="O381" s="136">
        <f>IF(OR(L381=0,H381&gt;NoEchMaxi),0,ROUND(FraisF+FraisV*L381,NbDeci))+F381</f>
        <v>0</v>
      </c>
      <c r="P381" s="148">
        <f t="shared" si="3"/>
        <v>0</v>
      </c>
      <c r="Q381" s="1"/>
      <c r="R381" s="138">
        <f>IF(B381&gt;0,IF(TauxActuariel,((B381+1)^(1/NbEchAn))-1,B381/NbEchAn),R380)</f>
        <v>0.04</v>
      </c>
      <c r="S381" s="139">
        <f>IF(E381&gt;0,E381,IF(D381&gt;0,IF(AND(EchFIXE,R381&gt;0),ROUND((L381-C381)*R381/(1-((1+R381)^-D381)),NbDeci),ROUND(L381/D381,NbDeci)),S380))</f>
        <v>6664</v>
      </c>
      <c r="T381" s="1"/>
      <c r="U381" s="1"/>
      <c r="V381" s="1"/>
      <c r="W381" s="1"/>
      <c r="X381" s="1"/>
      <c r="Y381" s="1"/>
      <c r="Z381" s="1"/>
      <c r="AA381" s="1"/>
    </row>
    <row r="382" ht="12.75" customHeight="1">
      <c r="A382" s="1"/>
      <c r="B382" s="140"/>
      <c r="C382" s="141"/>
      <c r="D382" s="142"/>
      <c r="E382" s="143"/>
      <c r="F382" s="144"/>
      <c r="G382" s="1"/>
      <c r="H382" s="131" t="str">
        <f t="shared" si="4"/>
        <v/>
      </c>
      <c r="I382" s="132" t="str">
        <f>IF(L382&gt;0,NbEch+Différé+1-H382,"")</f>
        <v/>
      </c>
      <c r="J382" s="145" t="str">
        <f t="shared" si="2"/>
        <v/>
      </c>
      <c r="K382" s="146" t="str">
        <f>IF(L382=0,"",IF(Ijour=0,MIN(DATE(YEAR(DebAmort),MONTH(DebAmort)+MoisD+(H382-1)*Imois,Jour2),DATE(YEAR(DebAmort),MONTH(DebAmort)+MoisD+1+(H382-1)*Imois,0)),DATE(YEAR(DebAmort),MONTH(DebAmort),Jour1+(H382-1)*Ijour)))</f>
        <v/>
      </c>
      <c r="L382" s="147">
        <f t="shared" si="5"/>
        <v>0</v>
      </c>
      <c r="M382" s="135">
        <f>IF(H382&lt;=NoEchMaxi,ROUND(L382*R382,NbDeci),0)</f>
        <v>0</v>
      </c>
      <c r="N382" s="134">
        <f>IF(OR(H382&lt;=Différé,H382&gt;NoEchMaxi),IF(DiffTotal,-M382,0),IF(H382&gt;=NoEchRemb,L382,IF(S382-(M382*EchFIXE)&gt;L382-2,L382,S382-(M382*EchFIXE))))+C382</f>
        <v>0</v>
      </c>
      <c r="O382" s="136">
        <f>IF(OR(L382=0,H382&gt;NoEchMaxi),0,ROUND(FraisF+FraisV*L382,NbDeci))+F382</f>
        <v>0</v>
      </c>
      <c r="P382" s="148">
        <f t="shared" si="3"/>
        <v>0</v>
      </c>
      <c r="Q382" s="1"/>
      <c r="R382" s="138">
        <f>IF(B382&gt;0,IF(TauxActuariel,((B382+1)^(1/NbEchAn))-1,B382/NbEchAn),R381)</f>
        <v>0.04</v>
      </c>
      <c r="S382" s="139">
        <f>IF(E382&gt;0,E382,IF(D382&gt;0,IF(AND(EchFIXE,R382&gt;0),ROUND((L382-C382)*R382/(1-((1+R382)^-D382)),NbDeci),ROUND(L382/D382,NbDeci)),S381))</f>
        <v>6664</v>
      </c>
      <c r="T382" s="1"/>
      <c r="U382" s="1"/>
      <c r="V382" s="1"/>
      <c r="W382" s="1"/>
      <c r="X382" s="1"/>
      <c r="Y382" s="1"/>
      <c r="Z382" s="1"/>
      <c r="AA382" s="1"/>
    </row>
    <row r="383" ht="12.75" customHeight="1">
      <c r="A383" s="1"/>
      <c r="B383" s="140"/>
      <c r="C383" s="141"/>
      <c r="D383" s="142"/>
      <c r="E383" s="143"/>
      <c r="F383" s="144"/>
      <c r="G383" s="1"/>
      <c r="H383" s="131" t="str">
        <f t="shared" si="4"/>
        <v/>
      </c>
      <c r="I383" s="132" t="str">
        <f>IF(L383&gt;0,NbEch+Différé+1-H383,"")</f>
        <v/>
      </c>
      <c r="J383" s="145" t="str">
        <f t="shared" si="2"/>
        <v/>
      </c>
      <c r="K383" s="146" t="str">
        <f>IF(L383=0,"",IF(Ijour=0,MIN(DATE(YEAR(DebAmort),MONTH(DebAmort)+(H383-1)*Imois,Jour1),DATE(YEAR(DebAmort),MONTH(DebAmort)+1+(H383-1)*Imois,0)),DATE(YEAR(DebAmort),MONTH(DebAmort),Jour1+(H383-1)*Ijour)))</f>
        <v/>
      </c>
      <c r="L383" s="147">
        <f t="shared" si="5"/>
        <v>0</v>
      </c>
      <c r="M383" s="135">
        <f>IF(H383&lt;=NoEchMaxi,ROUND(L383*R383,NbDeci),0)</f>
        <v>0</v>
      </c>
      <c r="N383" s="134">
        <f>IF(OR(H383&lt;=Différé,H383&gt;NoEchMaxi),IF(DiffTotal,-M383,0),IF(H383&gt;=NoEchRemb,L383,IF(S383-(M383*EchFIXE)&gt;L383-2,L383,S383-(M383*EchFIXE))))+C383</f>
        <v>0</v>
      </c>
      <c r="O383" s="136">
        <f>IF(OR(L383=0,H383&gt;NoEchMaxi),0,ROUND(FraisF+FraisV*L383,NbDeci))+F383</f>
        <v>0</v>
      </c>
      <c r="P383" s="148">
        <f t="shared" si="3"/>
        <v>0</v>
      </c>
      <c r="Q383" s="1"/>
      <c r="R383" s="138">
        <f>IF(B383&gt;0,IF(TauxActuariel,((B383+1)^(1/NbEchAn))-1,B383/NbEchAn),R382)</f>
        <v>0.04</v>
      </c>
      <c r="S383" s="139">
        <f>IF(E383&gt;0,E383,IF(D383&gt;0,IF(AND(EchFIXE,R383&gt;0),ROUND((L383-C383)*R383/(1-((1+R383)^-D383)),NbDeci),ROUND(L383/D383,NbDeci)),S382))</f>
        <v>6664</v>
      </c>
      <c r="T383" s="1"/>
      <c r="U383" s="1"/>
      <c r="V383" s="1"/>
      <c r="W383" s="1"/>
      <c r="X383" s="1"/>
      <c r="Y383" s="1"/>
      <c r="Z383" s="1"/>
      <c r="AA383" s="1"/>
    </row>
    <row r="384" ht="12.75" customHeight="1">
      <c r="A384" s="1"/>
      <c r="B384" s="140"/>
      <c r="C384" s="141"/>
      <c r="D384" s="142"/>
      <c r="E384" s="143"/>
      <c r="F384" s="144"/>
      <c r="G384" s="1"/>
      <c r="H384" s="131" t="str">
        <f t="shared" si="4"/>
        <v/>
      </c>
      <c r="I384" s="132" t="str">
        <f>IF(L384&gt;0,NbEch+Différé+1-H384,"")</f>
        <v/>
      </c>
      <c r="J384" s="145" t="str">
        <f t="shared" si="2"/>
        <v/>
      </c>
      <c r="K384" s="146" t="str">
        <f>IF(L384=0,"",IF(Ijour=0,MIN(DATE(YEAR(DebAmort),MONTH(DebAmort)+MoisD+(H384-1)*Imois,Jour2),DATE(YEAR(DebAmort),MONTH(DebAmort)+MoisD+1+(H384-1)*Imois,0)),DATE(YEAR(DebAmort),MONTH(DebAmort),Jour1+(H384-1)*Ijour)))</f>
        <v/>
      </c>
      <c r="L384" s="147">
        <f t="shared" si="5"/>
        <v>0</v>
      </c>
      <c r="M384" s="135">
        <f>IF(H384&lt;=NoEchMaxi,ROUND(L384*R384,NbDeci),0)</f>
        <v>0</v>
      </c>
      <c r="N384" s="134">
        <f>IF(OR(H384&lt;=Différé,H384&gt;NoEchMaxi),IF(DiffTotal,-M384,0),IF(H384&gt;=NoEchRemb,L384,IF(S384-(M384*EchFIXE)&gt;L384-2,L384,S384-(M384*EchFIXE))))+C384</f>
        <v>0</v>
      </c>
      <c r="O384" s="136">
        <f>IF(OR(L384=0,H384&gt;NoEchMaxi),0,ROUND(FraisF+FraisV*L384,NbDeci))+F384</f>
        <v>0</v>
      </c>
      <c r="P384" s="148">
        <f t="shared" si="3"/>
        <v>0</v>
      </c>
      <c r="Q384" s="1"/>
      <c r="R384" s="138">
        <f>IF(B384&gt;0,IF(TauxActuariel,((B384+1)^(1/NbEchAn))-1,B384/NbEchAn),R383)</f>
        <v>0.04</v>
      </c>
      <c r="S384" s="139">
        <f>IF(E384&gt;0,E384,IF(D384&gt;0,IF(AND(EchFIXE,R384&gt;0),ROUND((L384-C384)*R384/(1-((1+R384)^-D384)),NbDeci),ROUND(L384/D384,NbDeci)),S383))</f>
        <v>6664</v>
      </c>
      <c r="T384" s="1"/>
      <c r="U384" s="1"/>
      <c r="V384" s="1"/>
      <c r="W384" s="1"/>
      <c r="X384" s="1"/>
      <c r="Y384" s="1"/>
      <c r="Z384" s="1"/>
      <c r="AA384" s="1"/>
    </row>
    <row r="385" ht="12.75" customHeight="1">
      <c r="A385" s="1"/>
      <c r="B385" s="140"/>
      <c r="C385" s="141"/>
      <c r="D385" s="142"/>
      <c r="E385" s="143"/>
      <c r="F385" s="144"/>
      <c r="G385" s="1"/>
      <c r="H385" s="131" t="str">
        <f t="shared" si="4"/>
        <v/>
      </c>
      <c r="I385" s="132" t="str">
        <f>IF(L385&gt;0,NbEch+Différé+1-H385,"")</f>
        <v/>
      </c>
      <c r="J385" s="145" t="str">
        <f t="shared" si="2"/>
        <v/>
      </c>
      <c r="K385" s="146" t="str">
        <f>IF(L385=0,"",IF(Ijour=0,MIN(DATE(YEAR(DebAmort),MONTH(DebAmort)+(H385-1)*Imois,Jour1),DATE(YEAR(DebAmort),MONTH(DebAmort)+1+(H385-1)*Imois,0)),DATE(YEAR(DebAmort),MONTH(DebAmort),Jour1+(H385-1)*Ijour)))</f>
        <v/>
      </c>
      <c r="L385" s="147">
        <f t="shared" si="5"/>
        <v>0</v>
      </c>
      <c r="M385" s="135">
        <f>IF(H385&lt;=NoEchMaxi,ROUND(L385*R385,NbDeci),0)</f>
        <v>0</v>
      </c>
      <c r="N385" s="134">
        <f>IF(OR(H385&lt;=Différé,H385&gt;NoEchMaxi),IF(DiffTotal,-M385,0),IF(H385&gt;=NoEchRemb,L385,IF(S385-(M385*EchFIXE)&gt;L385-2,L385,S385-(M385*EchFIXE))))+C385</f>
        <v>0</v>
      </c>
      <c r="O385" s="136">
        <f>IF(OR(L385=0,H385&gt;NoEchMaxi),0,ROUND(FraisF+FraisV*L385,NbDeci))+F385</f>
        <v>0</v>
      </c>
      <c r="P385" s="148">
        <f t="shared" si="3"/>
        <v>0</v>
      </c>
      <c r="Q385" s="1"/>
      <c r="R385" s="138">
        <f>IF(B385&gt;0,IF(TauxActuariel,((B385+1)^(1/NbEchAn))-1,B385/NbEchAn),R384)</f>
        <v>0.04</v>
      </c>
      <c r="S385" s="139">
        <f>IF(E385&gt;0,E385,IF(D385&gt;0,IF(AND(EchFIXE,R385&gt;0),ROUND((L385-C385)*R385/(1-((1+R385)^-D385)),NbDeci),ROUND(L385/D385,NbDeci)),S384))</f>
        <v>6664</v>
      </c>
      <c r="T385" s="1"/>
      <c r="U385" s="1"/>
      <c r="V385" s="1"/>
      <c r="W385" s="1"/>
      <c r="X385" s="1"/>
      <c r="Y385" s="1"/>
      <c r="Z385" s="1"/>
      <c r="AA385" s="1"/>
    </row>
    <row r="386" ht="12.75" customHeight="1">
      <c r="A386" s="1"/>
      <c r="B386" s="140"/>
      <c r="C386" s="141"/>
      <c r="D386" s="142"/>
      <c r="E386" s="143"/>
      <c r="F386" s="144"/>
      <c r="G386" s="1"/>
      <c r="H386" s="131" t="str">
        <f t="shared" si="4"/>
        <v/>
      </c>
      <c r="I386" s="132" t="str">
        <f>IF(L386&gt;0,NbEch+Différé+1-H386,"")</f>
        <v/>
      </c>
      <c r="J386" s="145" t="str">
        <f t="shared" si="2"/>
        <v/>
      </c>
      <c r="K386" s="146" t="str">
        <f>IF(L386=0,"",IF(Ijour=0,MIN(DATE(YEAR(DebAmort),MONTH(DebAmort)+MoisD+(H386-1)*Imois,Jour2),DATE(YEAR(DebAmort),MONTH(DebAmort)+MoisD+1+(H386-1)*Imois,0)),DATE(YEAR(DebAmort),MONTH(DebAmort),Jour1+(H386-1)*Ijour)))</f>
        <v/>
      </c>
      <c r="L386" s="147">
        <f t="shared" si="5"/>
        <v>0</v>
      </c>
      <c r="M386" s="135">
        <f>IF(H386&lt;=NoEchMaxi,ROUND(L386*R386,NbDeci),0)</f>
        <v>0</v>
      </c>
      <c r="N386" s="134">
        <f>IF(OR(H386&lt;=Différé,H386&gt;NoEchMaxi),IF(DiffTotal,-M386,0),IF(H386&gt;=NoEchRemb,L386,IF(S386-(M386*EchFIXE)&gt;L386-2,L386,S386-(M386*EchFIXE))))+C386</f>
        <v>0</v>
      </c>
      <c r="O386" s="136">
        <f>IF(OR(L386=0,H386&gt;NoEchMaxi),0,ROUND(FraisF+FraisV*L386,NbDeci))+F386</f>
        <v>0</v>
      </c>
      <c r="P386" s="148">
        <f t="shared" si="3"/>
        <v>0</v>
      </c>
      <c r="Q386" s="1"/>
      <c r="R386" s="138">
        <f>IF(B386&gt;0,IF(TauxActuariel,((B386+1)^(1/NbEchAn))-1,B386/NbEchAn),R385)</f>
        <v>0.04</v>
      </c>
      <c r="S386" s="139">
        <f>IF(E386&gt;0,E386,IF(D386&gt;0,IF(AND(EchFIXE,R386&gt;0),ROUND((L386-C386)*R386/(1-((1+R386)^-D386)),NbDeci),ROUND(L386/D386,NbDeci)),S385))</f>
        <v>6664</v>
      </c>
      <c r="T386" s="1"/>
      <c r="U386" s="1"/>
      <c r="V386" s="1"/>
      <c r="W386" s="1"/>
      <c r="X386" s="1"/>
      <c r="Y386" s="1"/>
      <c r="Z386" s="1"/>
      <c r="AA386" s="1"/>
    </row>
    <row r="387" ht="12.75" customHeight="1">
      <c r="A387" s="1"/>
      <c r="B387" s="140"/>
      <c r="C387" s="141"/>
      <c r="D387" s="142"/>
      <c r="E387" s="143"/>
      <c r="F387" s="144"/>
      <c r="G387" s="1"/>
      <c r="H387" s="131" t="str">
        <f t="shared" si="4"/>
        <v/>
      </c>
      <c r="I387" s="132" t="str">
        <f>IF(L387&gt;0,NbEch+Différé+1-H387,"")</f>
        <v/>
      </c>
      <c r="J387" s="145" t="str">
        <f t="shared" si="2"/>
        <v/>
      </c>
      <c r="K387" s="146" t="str">
        <f>IF(L387=0,"",IF(Ijour=0,MIN(DATE(YEAR(DebAmort),MONTH(DebAmort)+(H387-1)*Imois,Jour1),DATE(YEAR(DebAmort),MONTH(DebAmort)+1+(H387-1)*Imois,0)),DATE(YEAR(DebAmort),MONTH(DebAmort),Jour1+(H387-1)*Ijour)))</f>
        <v/>
      </c>
      <c r="L387" s="147">
        <f t="shared" si="5"/>
        <v>0</v>
      </c>
      <c r="M387" s="135">
        <f>IF(H387&lt;=NoEchMaxi,ROUND(L387*R387,NbDeci),0)</f>
        <v>0</v>
      </c>
      <c r="N387" s="134">
        <f>IF(OR(H387&lt;=Différé,H387&gt;NoEchMaxi),IF(DiffTotal,-M387,0),IF(H387&gt;=NoEchRemb,L387,IF(S387-(M387*EchFIXE)&gt;L387-2,L387,S387-(M387*EchFIXE))))+C387</f>
        <v>0</v>
      </c>
      <c r="O387" s="136">
        <f>IF(OR(L387=0,H387&gt;NoEchMaxi),0,ROUND(FraisF+FraisV*L387,NbDeci))+F387</f>
        <v>0</v>
      </c>
      <c r="P387" s="148">
        <f t="shared" si="3"/>
        <v>0</v>
      </c>
      <c r="Q387" s="1"/>
      <c r="R387" s="138">
        <f>IF(B387&gt;0,IF(TauxActuariel,((B387+1)^(1/NbEchAn))-1,B387/NbEchAn),R386)</f>
        <v>0.04</v>
      </c>
      <c r="S387" s="139">
        <f>IF(E387&gt;0,E387,IF(D387&gt;0,IF(AND(EchFIXE,R387&gt;0),ROUND((L387-C387)*R387/(1-((1+R387)^-D387)),NbDeci),ROUND(L387/D387,NbDeci)),S386))</f>
        <v>6664</v>
      </c>
      <c r="T387" s="1"/>
      <c r="U387" s="1"/>
      <c r="V387" s="1"/>
      <c r="W387" s="1"/>
      <c r="X387" s="1"/>
      <c r="Y387" s="1"/>
      <c r="Z387" s="1"/>
      <c r="AA387" s="1"/>
    </row>
    <row r="388" ht="12.75" customHeight="1">
      <c r="A388" s="1"/>
      <c r="B388" s="140"/>
      <c r="C388" s="141"/>
      <c r="D388" s="142"/>
      <c r="E388" s="143"/>
      <c r="F388" s="144"/>
      <c r="G388" s="1"/>
      <c r="H388" s="131" t="str">
        <f t="shared" si="4"/>
        <v/>
      </c>
      <c r="I388" s="132" t="str">
        <f>IF(L388&gt;0,NbEch+Différé+1-H388,"")</f>
        <v/>
      </c>
      <c r="J388" s="145" t="str">
        <f t="shared" si="2"/>
        <v/>
      </c>
      <c r="K388" s="146" t="str">
        <f>IF(L388=0,"",IF(Ijour=0,MIN(DATE(YEAR(DebAmort),MONTH(DebAmort)+MoisD+(H388-1)*Imois,Jour2),DATE(YEAR(DebAmort),MONTH(DebAmort)+MoisD+1+(H388-1)*Imois,0)),DATE(YEAR(DebAmort),MONTH(DebAmort),Jour1+(H388-1)*Ijour)))</f>
        <v/>
      </c>
      <c r="L388" s="147">
        <f t="shared" si="5"/>
        <v>0</v>
      </c>
      <c r="M388" s="135">
        <f>IF(H388&lt;=NoEchMaxi,ROUND(L388*R388,NbDeci),0)</f>
        <v>0</v>
      </c>
      <c r="N388" s="134">
        <f>IF(OR(H388&lt;=Différé,H388&gt;NoEchMaxi),IF(DiffTotal,-M388,0),IF(H388&gt;=NoEchRemb,L388,IF(S388-(M388*EchFIXE)&gt;L388-2,L388,S388-(M388*EchFIXE))))+C388</f>
        <v>0</v>
      </c>
      <c r="O388" s="136">
        <f>IF(OR(L388=0,H388&gt;NoEchMaxi),0,ROUND(FraisF+FraisV*L388,NbDeci))+F388</f>
        <v>0</v>
      </c>
      <c r="P388" s="148">
        <f t="shared" si="3"/>
        <v>0</v>
      </c>
      <c r="Q388" s="1"/>
      <c r="R388" s="138">
        <f>IF(B388&gt;0,IF(TauxActuariel,((B388+1)^(1/NbEchAn))-1,B388/NbEchAn),R387)</f>
        <v>0.04</v>
      </c>
      <c r="S388" s="139">
        <f>IF(E388&gt;0,E388,IF(D388&gt;0,IF(AND(EchFIXE,R388&gt;0),ROUND((L388-C388)*R388/(1-((1+R388)^-D388)),NbDeci),ROUND(L388/D388,NbDeci)),S387))</f>
        <v>6664</v>
      </c>
      <c r="T388" s="1"/>
      <c r="U388" s="1"/>
      <c r="V388" s="1"/>
      <c r="W388" s="1"/>
      <c r="X388" s="1"/>
      <c r="Y388" s="1"/>
      <c r="Z388" s="1"/>
      <c r="AA388" s="1"/>
    </row>
    <row r="389" ht="12.75" customHeight="1">
      <c r="A389" s="1"/>
      <c r="B389" s="140"/>
      <c r="C389" s="141"/>
      <c r="D389" s="142"/>
      <c r="E389" s="143"/>
      <c r="F389" s="144"/>
      <c r="G389" s="1"/>
      <c r="H389" s="131" t="str">
        <f t="shared" si="4"/>
        <v/>
      </c>
      <c r="I389" s="132" t="str">
        <f>IF(L389&gt;0,NbEch+Différé+1-H389,"")</f>
        <v/>
      </c>
      <c r="J389" s="145" t="str">
        <f t="shared" si="2"/>
        <v/>
      </c>
      <c r="K389" s="146" t="str">
        <f>IF(L389=0,"",IF(Ijour=0,MIN(DATE(YEAR(DebAmort),MONTH(DebAmort)+(H389-1)*Imois,Jour1),DATE(YEAR(DebAmort),MONTH(DebAmort)+1+(H389-1)*Imois,0)),DATE(YEAR(DebAmort),MONTH(DebAmort),Jour1+(H389-1)*Ijour)))</f>
        <v/>
      </c>
      <c r="L389" s="147">
        <f t="shared" si="5"/>
        <v>0</v>
      </c>
      <c r="M389" s="135">
        <f>IF(H389&lt;=NoEchMaxi,ROUND(L389*R389,NbDeci),0)</f>
        <v>0</v>
      </c>
      <c r="N389" s="134">
        <f>IF(OR(H389&lt;=Différé,H389&gt;NoEchMaxi),IF(DiffTotal,-M389,0),IF(H389&gt;=NoEchRemb,L389,IF(S389-(M389*EchFIXE)&gt;L389-2,L389,S389-(M389*EchFIXE))))+C389</f>
        <v>0</v>
      </c>
      <c r="O389" s="136">
        <f>IF(OR(L389=0,H389&gt;NoEchMaxi),0,ROUND(FraisF+FraisV*L389,NbDeci))+F389</f>
        <v>0</v>
      </c>
      <c r="P389" s="148">
        <f t="shared" si="3"/>
        <v>0</v>
      </c>
      <c r="Q389" s="1"/>
      <c r="R389" s="138">
        <f>IF(B389&gt;0,IF(TauxActuariel,((B389+1)^(1/NbEchAn))-1,B389/NbEchAn),R388)</f>
        <v>0.04</v>
      </c>
      <c r="S389" s="139">
        <f>IF(E389&gt;0,E389,IF(D389&gt;0,IF(AND(EchFIXE,R389&gt;0),ROUND((L389-C389)*R389/(1-((1+R389)^-D389)),NbDeci),ROUND(L389/D389,NbDeci)),S388))</f>
        <v>6664</v>
      </c>
      <c r="T389" s="1"/>
      <c r="U389" s="1"/>
      <c r="V389" s="1"/>
      <c r="W389" s="1"/>
      <c r="X389" s="1"/>
      <c r="Y389" s="1"/>
      <c r="Z389" s="1"/>
      <c r="AA389" s="1"/>
    </row>
    <row r="390" ht="12.75" customHeight="1">
      <c r="A390" s="1"/>
      <c r="B390" s="140"/>
      <c r="C390" s="141"/>
      <c r="D390" s="142"/>
      <c r="E390" s="143"/>
      <c r="F390" s="144"/>
      <c r="G390" s="1"/>
      <c r="H390" s="131" t="str">
        <f t="shared" si="4"/>
        <v/>
      </c>
      <c r="I390" s="132" t="str">
        <f>IF(L390&gt;0,NbEch+Différé+1-H390,"")</f>
        <v/>
      </c>
      <c r="J390" s="145" t="str">
        <f t="shared" si="2"/>
        <v/>
      </c>
      <c r="K390" s="146" t="str">
        <f>IF(L390=0,"",IF(Ijour=0,MIN(DATE(YEAR(DebAmort),MONTH(DebAmort)+MoisD+(H390-1)*Imois,Jour2),DATE(YEAR(DebAmort),MONTH(DebAmort)+MoisD+1+(H390-1)*Imois,0)),DATE(YEAR(DebAmort),MONTH(DebAmort),Jour1+(H390-1)*Ijour)))</f>
        <v/>
      </c>
      <c r="L390" s="147">
        <f t="shared" si="5"/>
        <v>0</v>
      </c>
      <c r="M390" s="135">
        <f>IF(H390&lt;=NoEchMaxi,ROUND(L390*R390,NbDeci),0)</f>
        <v>0</v>
      </c>
      <c r="N390" s="134">
        <f>IF(OR(H390&lt;=Différé,H390&gt;NoEchMaxi),IF(DiffTotal,-M390,0),IF(H390&gt;=NoEchRemb,L390,IF(S390-(M390*EchFIXE)&gt;L390-2,L390,S390-(M390*EchFIXE))))+C390</f>
        <v>0</v>
      </c>
      <c r="O390" s="136">
        <f>IF(OR(L390=0,H390&gt;NoEchMaxi),0,ROUND(FraisF+FraisV*L390,NbDeci))+F390</f>
        <v>0</v>
      </c>
      <c r="P390" s="148">
        <f t="shared" si="3"/>
        <v>0</v>
      </c>
      <c r="Q390" s="1"/>
      <c r="R390" s="138">
        <f>IF(B390&gt;0,IF(TauxActuariel,((B390+1)^(1/NbEchAn))-1,B390/NbEchAn),R389)</f>
        <v>0.04</v>
      </c>
      <c r="S390" s="139">
        <f>IF(E390&gt;0,E390,IF(D390&gt;0,IF(AND(EchFIXE,R390&gt;0),ROUND((L390-C390)*R390/(1-((1+R390)^-D390)),NbDeci),ROUND(L390/D390,NbDeci)),S389))</f>
        <v>6664</v>
      </c>
      <c r="T390" s="1"/>
      <c r="U390" s="1"/>
      <c r="V390" s="1"/>
      <c r="W390" s="1"/>
      <c r="X390" s="1"/>
      <c r="Y390" s="1"/>
      <c r="Z390" s="1"/>
      <c r="AA390" s="1"/>
    </row>
    <row r="391" ht="12.75" customHeight="1">
      <c r="A391" s="1"/>
      <c r="B391" s="140"/>
      <c r="C391" s="141"/>
      <c r="D391" s="142"/>
      <c r="E391" s="143"/>
      <c r="F391" s="144"/>
      <c r="G391" s="1"/>
      <c r="H391" s="131" t="str">
        <f t="shared" si="4"/>
        <v/>
      </c>
      <c r="I391" s="132" t="str">
        <f>IF(L391&gt;0,NbEch+Différé+1-H391,"")</f>
        <v/>
      </c>
      <c r="J391" s="145" t="str">
        <f t="shared" si="2"/>
        <v/>
      </c>
      <c r="K391" s="146" t="str">
        <f>IF(L391=0,"",IF(Ijour=0,MIN(DATE(YEAR(DebAmort),MONTH(DebAmort)+(H391-1)*Imois,Jour1),DATE(YEAR(DebAmort),MONTH(DebAmort)+1+(H391-1)*Imois,0)),DATE(YEAR(DebAmort),MONTH(DebAmort),Jour1+(H391-1)*Ijour)))</f>
        <v/>
      </c>
      <c r="L391" s="147">
        <f t="shared" si="5"/>
        <v>0</v>
      </c>
      <c r="M391" s="135">
        <f>IF(H391&lt;=NoEchMaxi,ROUND(L391*R391,NbDeci),0)</f>
        <v>0</v>
      </c>
      <c r="N391" s="134">
        <f>IF(OR(H391&lt;=Différé,H391&gt;NoEchMaxi),IF(DiffTotal,-M391,0),IF(H391&gt;=NoEchRemb,L391,IF(S391-(M391*EchFIXE)&gt;L391-2,L391,S391-(M391*EchFIXE))))+C391</f>
        <v>0</v>
      </c>
      <c r="O391" s="136">
        <f>IF(OR(L391=0,H391&gt;NoEchMaxi),0,ROUND(FraisF+FraisV*L391,NbDeci))+F391</f>
        <v>0</v>
      </c>
      <c r="P391" s="148">
        <f t="shared" si="3"/>
        <v>0</v>
      </c>
      <c r="Q391" s="1"/>
      <c r="R391" s="138">
        <f>IF(B391&gt;0,IF(TauxActuariel,((B391+1)^(1/NbEchAn))-1,B391/NbEchAn),R390)</f>
        <v>0.04</v>
      </c>
      <c r="S391" s="139">
        <f>IF(E391&gt;0,E391,IF(D391&gt;0,IF(AND(EchFIXE,R391&gt;0),ROUND((L391-C391)*R391/(1-((1+R391)^-D391)),NbDeci),ROUND(L391/D391,NbDeci)),S390))</f>
        <v>6664</v>
      </c>
      <c r="T391" s="1"/>
      <c r="U391" s="1"/>
      <c r="V391" s="1"/>
      <c r="W391" s="1"/>
      <c r="X391" s="1"/>
      <c r="Y391" s="1"/>
      <c r="Z391" s="1"/>
      <c r="AA391" s="1"/>
    </row>
    <row r="392" ht="12.75" customHeight="1">
      <c r="A392" s="1"/>
      <c r="B392" s="140"/>
      <c r="C392" s="141"/>
      <c r="D392" s="142"/>
      <c r="E392" s="143"/>
      <c r="F392" s="144"/>
      <c r="G392" s="1"/>
      <c r="H392" s="131" t="str">
        <f t="shared" si="4"/>
        <v/>
      </c>
      <c r="I392" s="132" t="str">
        <f>IF(L392&gt;0,NbEch+Différé+1-H392,"")</f>
        <v/>
      </c>
      <c r="J392" s="145" t="str">
        <f t="shared" si="2"/>
        <v/>
      </c>
      <c r="K392" s="146" t="str">
        <f>IF(L392=0,"",IF(Ijour=0,MIN(DATE(YEAR(DebAmort),MONTH(DebAmort)+MoisD+(H392-1)*Imois,Jour2),DATE(YEAR(DebAmort),MONTH(DebAmort)+MoisD+1+(H392-1)*Imois,0)),DATE(YEAR(DebAmort),MONTH(DebAmort),Jour1+(H392-1)*Ijour)))</f>
        <v/>
      </c>
      <c r="L392" s="147">
        <f t="shared" si="5"/>
        <v>0</v>
      </c>
      <c r="M392" s="135">
        <f>IF(H392&lt;=NoEchMaxi,ROUND(L392*R392,NbDeci),0)</f>
        <v>0</v>
      </c>
      <c r="N392" s="134">
        <f>IF(OR(H392&lt;=Différé,H392&gt;NoEchMaxi),IF(DiffTotal,-M392,0),IF(H392&gt;=NoEchRemb,L392,IF(S392-(M392*EchFIXE)&gt;L392-2,L392,S392-(M392*EchFIXE))))+C392</f>
        <v>0</v>
      </c>
      <c r="O392" s="136">
        <f>IF(OR(L392=0,H392&gt;NoEchMaxi),0,ROUND(FraisF+FraisV*L392,NbDeci))+F392</f>
        <v>0</v>
      </c>
      <c r="P392" s="148">
        <f t="shared" si="3"/>
        <v>0</v>
      </c>
      <c r="Q392" s="1"/>
      <c r="R392" s="138">
        <f>IF(B392&gt;0,IF(TauxActuariel,((B392+1)^(1/NbEchAn))-1,B392/NbEchAn),R391)</f>
        <v>0.04</v>
      </c>
      <c r="S392" s="139">
        <f>IF(E392&gt;0,E392,IF(D392&gt;0,IF(AND(EchFIXE,R392&gt;0),ROUND((L392-C392)*R392/(1-((1+R392)^-D392)),NbDeci),ROUND(L392/D392,NbDeci)),S391))</f>
        <v>6664</v>
      </c>
      <c r="T392" s="1"/>
      <c r="U392" s="1"/>
      <c r="V392" s="1"/>
      <c r="W392" s="1"/>
      <c r="X392" s="1"/>
      <c r="Y392" s="1"/>
      <c r="Z392" s="1"/>
      <c r="AA392" s="1"/>
    </row>
    <row r="393" ht="12.75" customHeight="1">
      <c r="A393" s="1"/>
      <c r="B393" s="140"/>
      <c r="C393" s="141"/>
      <c r="D393" s="142"/>
      <c r="E393" s="143"/>
      <c r="F393" s="144"/>
      <c r="G393" s="1"/>
      <c r="H393" s="131" t="str">
        <f t="shared" si="4"/>
        <v/>
      </c>
      <c r="I393" s="132" t="str">
        <f>IF(L393&gt;0,NbEch+Différé+1-H393,"")</f>
        <v/>
      </c>
      <c r="J393" s="145" t="str">
        <f t="shared" si="2"/>
        <v/>
      </c>
      <c r="K393" s="146" t="str">
        <f>IF(L393=0,"",IF(Ijour=0,MIN(DATE(YEAR(DebAmort),MONTH(DebAmort)+(H393-1)*Imois,Jour1),DATE(YEAR(DebAmort),MONTH(DebAmort)+1+(H393-1)*Imois,0)),DATE(YEAR(DebAmort),MONTH(DebAmort),Jour1+(H393-1)*Ijour)))</f>
        <v/>
      </c>
      <c r="L393" s="147">
        <f t="shared" si="5"/>
        <v>0</v>
      </c>
      <c r="M393" s="135">
        <f>IF(H393&lt;=NoEchMaxi,ROUND(L393*R393,NbDeci),0)</f>
        <v>0</v>
      </c>
      <c r="N393" s="134">
        <f>IF(OR(H393&lt;=Différé,H393&gt;NoEchMaxi),IF(DiffTotal,-M393,0),IF(H393&gt;=NoEchRemb,L393,IF(S393-(M393*EchFIXE)&gt;L393-2,L393,S393-(M393*EchFIXE))))+C393</f>
        <v>0</v>
      </c>
      <c r="O393" s="136">
        <f>IF(OR(L393=0,H393&gt;NoEchMaxi),0,ROUND(FraisF+FraisV*L393,NbDeci))+F393</f>
        <v>0</v>
      </c>
      <c r="P393" s="148">
        <f t="shared" si="3"/>
        <v>0</v>
      </c>
      <c r="Q393" s="1"/>
      <c r="R393" s="138">
        <f>IF(B393&gt;0,IF(TauxActuariel,((B393+1)^(1/NbEchAn))-1,B393/NbEchAn),R392)</f>
        <v>0.04</v>
      </c>
      <c r="S393" s="139">
        <f>IF(E393&gt;0,E393,IF(D393&gt;0,IF(AND(EchFIXE,R393&gt;0),ROUND((L393-C393)*R393/(1-((1+R393)^-D393)),NbDeci),ROUND(L393/D393,NbDeci)),S392))</f>
        <v>6664</v>
      </c>
      <c r="T393" s="1"/>
      <c r="U393" s="1"/>
      <c r="V393" s="1"/>
      <c r="W393" s="1"/>
      <c r="X393" s="1"/>
      <c r="Y393" s="1"/>
      <c r="Z393" s="1"/>
      <c r="AA393" s="1"/>
    </row>
    <row r="394" ht="12.75" customHeight="1">
      <c r="A394" s="1"/>
      <c r="B394" s="140"/>
      <c r="C394" s="141"/>
      <c r="D394" s="142"/>
      <c r="E394" s="143"/>
      <c r="F394" s="144"/>
      <c r="G394" s="1"/>
      <c r="H394" s="131" t="str">
        <f t="shared" si="4"/>
        <v/>
      </c>
      <c r="I394" s="132" t="str">
        <f>IF(L394&gt;0,NbEch+Différé+1-H394,"")</f>
        <v/>
      </c>
      <c r="J394" s="145" t="str">
        <f t="shared" si="2"/>
        <v/>
      </c>
      <c r="K394" s="146" t="str">
        <f>IF(L394=0,"",IF(Ijour=0,MIN(DATE(YEAR(DebAmort),MONTH(DebAmort)+MoisD+(H394-1)*Imois,Jour2),DATE(YEAR(DebAmort),MONTH(DebAmort)+MoisD+1+(H394-1)*Imois,0)),DATE(YEAR(DebAmort),MONTH(DebAmort),Jour1+(H394-1)*Ijour)))</f>
        <v/>
      </c>
      <c r="L394" s="147">
        <f t="shared" si="5"/>
        <v>0</v>
      </c>
      <c r="M394" s="135">
        <f>IF(H394&lt;=NoEchMaxi,ROUND(L394*R394,NbDeci),0)</f>
        <v>0</v>
      </c>
      <c r="N394" s="134">
        <f>IF(OR(H394&lt;=Différé,H394&gt;NoEchMaxi),IF(DiffTotal,-M394,0),IF(H394&gt;=NoEchRemb,L394,IF(S394-(M394*EchFIXE)&gt;L394-2,L394,S394-(M394*EchFIXE))))+C394</f>
        <v>0</v>
      </c>
      <c r="O394" s="136">
        <f>IF(OR(L394=0,H394&gt;NoEchMaxi),0,ROUND(FraisF+FraisV*L394,NbDeci))+F394</f>
        <v>0</v>
      </c>
      <c r="P394" s="148">
        <f t="shared" si="3"/>
        <v>0</v>
      </c>
      <c r="Q394" s="1"/>
      <c r="R394" s="138">
        <f>IF(B394&gt;0,IF(TauxActuariel,((B394+1)^(1/NbEchAn))-1,B394/NbEchAn),R393)</f>
        <v>0.04</v>
      </c>
      <c r="S394" s="139">
        <f>IF(E394&gt;0,E394,IF(D394&gt;0,IF(AND(EchFIXE,R394&gt;0),ROUND((L394-C394)*R394/(1-((1+R394)^-D394)),NbDeci),ROUND(L394/D394,NbDeci)),S393))</f>
        <v>6664</v>
      </c>
      <c r="T394" s="1"/>
      <c r="U394" s="1"/>
      <c r="V394" s="1"/>
      <c r="W394" s="1"/>
      <c r="X394" s="1"/>
      <c r="Y394" s="1"/>
      <c r="Z394" s="1"/>
      <c r="AA394" s="1"/>
    </row>
    <row r="395" ht="12.75" customHeight="1">
      <c r="A395" s="1"/>
      <c r="B395" s="140"/>
      <c r="C395" s="141"/>
      <c r="D395" s="142"/>
      <c r="E395" s="143"/>
      <c r="F395" s="144"/>
      <c r="G395" s="1"/>
      <c r="H395" s="131" t="str">
        <f t="shared" si="4"/>
        <v/>
      </c>
      <c r="I395" s="132" t="str">
        <f>IF(L395&gt;0,NbEch+Différé+1-H395,"")</f>
        <v/>
      </c>
      <c r="J395" s="145" t="str">
        <f t="shared" si="2"/>
        <v/>
      </c>
      <c r="K395" s="146" t="str">
        <f>IF(L395=0,"",IF(Ijour=0,MIN(DATE(YEAR(DebAmort),MONTH(DebAmort)+(H395-1)*Imois,Jour1),DATE(YEAR(DebAmort),MONTH(DebAmort)+1+(H395-1)*Imois,0)),DATE(YEAR(DebAmort),MONTH(DebAmort),Jour1+(H395-1)*Ijour)))</f>
        <v/>
      </c>
      <c r="L395" s="147">
        <f t="shared" si="5"/>
        <v>0</v>
      </c>
      <c r="M395" s="135">
        <f>IF(H395&lt;=NoEchMaxi,ROUND(L395*R395,NbDeci),0)</f>
        <v>0</v>
      </c>
      <c r="N395" s="134">
        <f>IF(OR(H395&lt;=Différé,H395&gt;NoEchMaxi),IF(DiffTotal,-M395,0),IF(H395&gt;=NoEchRemb,L395,IF(S395-(M395*EchFIXE)&gt;L395-2,L395,S395-(M395*EchFIXE))))+C395</f>
        <v>0</v>
      </c>
      <c r="O395" s="136">
        <f>IF(OR(L395=0,H395&gt;NoEchMaxi),0,ROUND(FraisF+FraisV*L395,NbDeci))+F395</f>
        <v>0</v>
      </c>
      <c r="P395" s="148">
        <f t="shared" si="3"/>
        <v>0</v>
      </c>
      <c r="Q395" s="1"/>
      <c r="R395" s="138">
        <f>IF(B395&gt;0,IF(TauxActuariel,((B395+1)^(1/NbEchAn))-1,B395/NbEchAn),R394)</f>
        <v>0.04</v>
      </c>
      <c r="S395" s="139">
        <f>IF(E395&gt;0,E395,IF(D395&gt;0,IF(AND(EchFIXE,R395&gt;0),ROUND((L395-C395)*R395/(1-((1+R395)^-D395)),NbDeci),ROUND(L395/D395,NbDeci)),S394))</f>
        <v>6664</v>
      </c>
      <c r="T395" s="1"/>
      <c r="U395" s="1"/>
      <c r="V395" s="1"/>
      <c r="W395" s="1"/>
      <c r="X395" s="1"/>
      <c r="Y395" s="1"/>
      <c r="Z395" s="1"/>
      <c r="AA395" s="1"/>
    </row>
    <row r="396" ht="12.75" customHeight="1">
      <c r="A396" s="1"/>
      <c r="B396" s="140"/>
      <c r="C396" s="141"/>
      <c r="D396" s="142"/>
      <c r="E396" s="143"/>
      <c r="F396" s="144"/>
      <c r="G396" s="1"/>
      <c r="H396" s="131" t="str">
        <f t="shared" si="4"/>
        <v/>
      </c>
      <c r="I396" s="132" t="str">
        <f>IF(L396&gt;0,NbEch+Différé+1-H396,"")</f>
        <v/>
      </c>
      <c r="J396" s="145" t="str">
        <f t="shared" si="2"/>
        <v/>
      </c>
      <c r="K396" s="146" t="str">
        <f>IF(L396=0,"",IF(Ijour=0,MIN(DATE(YEAR(DebAmort),MONTH(DebAmort)+MoisD+(H396-1)*Imois,Jour2),DATE(YEAR(DebAmort),MONTH(DebAmort)+MoisD+1+(H396-1)*Imois,0)),DATE(YEAR(DebAmort),MONTH(DebAmort),Jour1+(H396-1)*Ijour)))</f>
        <v/>
      </c>
      <c r="L396" s="147">
        <f t="shared" si="5"/>
        <v>0</v>
      </c>
      <c r="M396" s="135">
        <f>IF(H396&lt;=NoEchMaxi,ROUND(L396*R396,NbDeci),0)</f>
        <v>0</v>
      </c>
      <c r="N396" s="134">
        <f>IF(OR(H396&lt;=Différé,H396&gt;NoEchMaxi),IF(DiffTotal,-M396,0),IF(H396&gt;=NoEchRemb,L396,IF(S396-(M396*EchFIXE)&gt;L396-2,L396,S396-(M396*EchFIXE))))+C396</f>
        <v>0</v>
      </c>
      <c r="O396" s="136">
        <f>IF(OR(L396=0,H396&gt;NoEchMaxi),0,ROUND(FraisF+FraisV*L396,NbDeci))+F396</f>
        <v>0</v>
      </c>
      <c r="P396" s="148">
        <f t="shared" si="3"/>
        <v>0</v>
      </c>
      <c r="Q396" s="1"/>
      <c r="R396" s="138">
        <f>IF(B396&gt;0,IF(TauxActuariel,((B396+1)^(1/NbEchAn))-1,B396/NbEchAn),R395)</f>
        <v>0.04</v>
      </c>
      <c r="S396" s="139">
        <f>IF(E396&gt;0,E396,IF(D396&gt;0,IF(AND(EchFIXE,R396&gt;0),ROUND((L396-C396)*R396/(1-((1+R396)^-D396)),NbDeci),ROUND(L396/D396,NbDeci)),S395))</f>
        <v>6664</v>
      </c>
      <c r="T396" s="1"/>
      <c r="U396" s="1"/>
      <c r="V396" s="1"/>
      <c r="W396" s="1"/>
      <c r="X396" s="1"/>
      <c r="Y396" s="1"/>
      <c r="Z396" s="1"/>
      <c r="AA396" s="1"/>
    </row>
    <row r="397" ht="12.75" customHeight="1">
      <c r="A397" s="1"/>
      <c r="B397" s="140"/>
      <c r="C397" s="141"/>
      <c r="D397" s="142"/>
      <c r="E397" s="143"/>
      <c r="F397" s="144"/>
      <c r="G397" s="1"/>
      <c r="H397" s="131" t="str">
        <f t="shared" si="4"/>
        <v/>
      </c>
      <c r="I397" s="132" t="str">
        <f>IF(L397&gt;0,NbEch+Différé+1-H397,"")</f>
        <v/>
      </c>
      <c r="J397" s="145" t="str">
        <f t="shared" si="2"/>
        <v/>
      </c>
      <c r="K397" s="146" t="str">
        <f>IF(L397=0,"",IF(Ijour=0,MIN(DATE(YEAR(DebAmort),MONTH(DebAmort)+(H397-1)*Imois,Jour1),DATE(YEAR(DebAmort),MONTH(DebAmort)+1+(H397-1)*Imois,0)),DATE(YEAR(DebAmort),MONTH(DebAmort),Jour1+(H397-1)*Ijour)))</f>
        <v/>
      </c>
      <c r="L397" s="147">
        <f t="shared" si="5"/>
        <v>0</v>
      </c>
      <c r="M397" s="135">
        <f>IF(H397&lt;=NoEchMaxi,ROUND(L397*R397,NbDeci),0)</f>
        <v>0</v>
      </c>
      <c r="N397" s="134">
        <f>IF(OR(H397&lt;=Différé,H397&gt;NoEchMaxi),IF(DiffTotal,-M397,0),IF(H397&gt;=NoEchRemb,L397,IF(S397-(M397*EchFIXE)&gt;L397-2,L397,S397-(M397*EchFIXE))))+C397</f>
        <v>0</v>
      </c>
      <c r="O397" s="136">
        <f>IF(OR(L397=0,H397&gt;NoEchMaxi),0,ROUND(FraisF+FraisV*L397,NbDeci))+F397</f>
        <v>0</v>
      </c>
      <c r="P397" s="148">
        <f t="shared" si="3"/>
        <v>0</v>
      </c>
      <c r="Q397" s="1"/>
      <c r="R397" s="138">
        <f>IF(B397&gt;0,IF(TauxActuariel,((B397+1)^(1/NbEchAn))-1,B397/NbEchAn),R396)</f>
        <v>0.04</v>
      </c>
      <c r="S397" s="139">
        <f>IF(E397&gt;0,E397,IF(D397&gt;0,IF(AND(EchFIXE,R397&gt;0),ROUND((L397-C397)*R397/(1-((1+R397)^-D397)),NbDeci),ROUND(L397/D397,NbDeci)),S396))</f>
        <v>6664</v>
      </c>
      <c r="T397" s="1"/>
      <c r="U397" s="1"/>
      <c r="V397" s="1"/>
      <c r="W397" s="1"/>
      <c r="X397" s="1"/>
      <c r="Y397" s="1"/>
      <c r="Z397" s="1"/>
      <c r="AA397" s="1"/>
    </row>
    <row r="398" ht="12.75" customHeight="1">
      <c r="A398" s="1"/>
      <c r="B398" s="140"/>
      <c r="C398" s="141"/>
      <c r="D398" s="142"/>
      <c r="E398" s="143"/>
      <c r="F398" s="144"/>
      <c r="G398" s="1"/>
      <c r="H398" s="131" t="str">
        <f t="shared" si="4"/>
        <v/>
      </c>
      <c r="I398" s="132" t="str">
        <f>IF(L398&gt;0,NbEch+Différé+1-H398,"")</f>
        <v/>
      </c>
      <c r="J398" s="145" t="str">
        <f t="shared" si="2"/>
        <v/>
      </c>
      <c r="K398" s="146" t="str">
        <f>IF(L398=0,"",IF(Ijour=0,MIN(DATE(YEAR(DebAmort),MONTH(DebAmort)+MoisD+(H398-1)*Imois,Jour2),DATE(YEAR(DebAmort),MONTH(DebAmort)+MoisD+1+(H398-1)*Imois,0)),DATE(YEAR(DebAmort),MONTH(DebAmort),Jour1+(H398-1)*Ijour)))</f>
        <v/>
      </c>
      <c r="L398" s="147">
        <f t="shared" si="5"/>
        <v>0</v>
      </c>
      <c r="M398" s="135">
        <f>IF(H398&lt;=NoEchMaxi,ROUND(L398*R398,NbDeci),0)</f>
        <v>0</v>
      </c>
      <c r="N398" s="134">
        <f>IF(OR(H398&lt;=Différé,H398&gt;NoEchMaxi),IF(DiffTotal,-M398,0),IF(H398&gt;=NoEchRemb,L398,IF(S398-(M398*EchFIXE)&gt;L398-2,L398,S398-(M398*EchFIXE))))+C398</f>
        <v>0</v>
      </c>
      <c r="O398" s="136">
        <f>IF(OR(L398=0,H398&gt;NoEchMaxi),0,ROUND(FraisF+FraisV*L398,NbDeci))+F398</f>
        <v>0</v>
      </c>
      <c r="P398" s="148">
        <f t="shared" si="3"/>
        <v>0</v>
      </c>
      <c r="Q398" s="1"/>
      <c r="R398" s="138">
        <f>IF(B398&gt;0,IF(TauxActuariel,((B398+1)^(1/NbEchAn))-1,B398/NbEchAn),R397)</f>
        <v>0.04</v>
      </c>
      <c r="S398" s="139">
        <f>IF(E398&gt;0,E398,IF(D398&gt;0,IF(AND(EchFIXE,R398&gt;0),ROUND((L398-C398)*R398/(1-((1+R398)^-D398)),NbDeci),ROUND(L398/D398,NbDeci)),S397))</f>
        <v>6664</v>
      </c>
      <c r="T398" s="1"/>
      <c r="U398" s="1"/>
      <c r="V398" s="1"/>
      <c r="W398" s="1"/>
      <c r="X398" s="1"/>
      <c r="Y398" s="1"/>
      <c r="Z398" s="1"/>
      <c r="AA398" s="1"/>
    </row>
    <row r="399" ht="12.75" customHeight="1">
      <c r="A399" s="1"/>
      <c r="B399" s="140"/>
      <c r="C399" s="141"/>
      <c r="D399" s="142"/>
      <c r="E399" s="143"/>
      <c r="F399" s="144"/>
      <c r="G399" s="1"/>
      <c r="H399" s="131" t="str">
        <f t="shared" si="4"/>
        <v/>
      </c>
      <c r="I399" s="132" t="str">
        <f>IF(L399&gt;0,NbEch+Différé+1-H399,"")</f>
        <v/>
      </c>
      <c r="J399" s="145" t="str">
        <f t="shared" si="2"/>
        <v/>
      </c>
      <c r="K399" s="146" t="str">
        <f>IF(L399=0,"",IF(Ijour=0,MIN(DATE(YEAR(DebAmort),MONTH(DebAmort)+(H399-1)*Imois,Jour1),DATE(YEAR(DebAmort),MONTH(DebAmort)+1+(H399-1)*Imois,0)),DATE(YEAR(DebAmort),MONTH(DebAmort),Jour1+(H399-1)*Ijour)))</f>
        <v/>
      </c>
      <c r="L399" s="147">
        <f t="shared" si="5"/>
        <v>0</v>
      </c>
      <c r="M399" s="135">
        <f>IF(H399&lt;=NoEchMaxi,ROUND(L399*R399,NbDeci),0)</f>
        <v>0</v>
      </c>
      <c r="N399" s="134">
        <f>IF(OR(H399&lt;=Différé,H399&gt;NoEchMaxi),IF(DiffTotal,-M399,0),IF(H399&gt;=NoEchRemb,L399,IF(S399-(M399*EchFIXE)&gt;L399-2,L399,S399-(M399*EchFIXE))))+C399</f>
        <v>0</v>
      </c>
      <c r="O399" s="136">
        <f>IF(OR(L399=0,H399&gt;NoEchMaxi),0,ROUND(FraisF+FraisV*L399,NbDeci))+F399</f>
        <v>0</v>
      </c>
      <c r="P399" s="148">
        <f t="shared" si="3"/>
        <v>0</v>
      </c>
      <c r="Q399" s="1"/>
      <c r="R399" s="138">
        <f>IF(B399&gt;0,IF(TauxActuariel,((B399+1)^(1/NbEchAn))-1,B399/NbEchAn),R398)</f>
        <v>0.04</v>
      </c>
      <c r="S399" s="139">
        <f>IF(E399&gt;0,E399,IF(D399&gt;0,IF(AND(EchFIXE,R399&gt;0),ROUND((L399-C399)*R399/(1-((1+R399)^-D399)),NbDeci),ROUND(L399/D399,NbDeci)),S398))</f>
        <v>6664</v>
      </c>
      <c r="T399" s="1"/>
      <c r="U399" s="1"/>
      <c r="V399" s="1"/>
      <c r="W399" s="1"/>
      <c r="X399" s="1"/>
      <c r="Y399" s="1"/>
      <c r="Z399" s="1"/>
      <c r="AA399" s="1"/>
    </row>
    <row r="400" ht="12.75" customHeight="1">
      <c r="A400" s="1"/>
      <c r="B400" s="140"/>
      <c r="C400" s="141"/>
      <c r="D400" s="142"/>
      <c r="E400" s="143"/>
      <c r="F400" s="144"/>
      <c r="G400" s="1"/>
      <c r="H400" s="131" t="str">
        <f t="shared" si="4"/>
        <v/>
      </c>
      <c r="I400" s="132" t="str">
        <f>IF(L400&gt;0,NbEch+Différé+1-H400,"")</f>
        <v/>
      </c>
      <c r="J400" s="145" t="str">
        <f t="shared" si="2"/>
        <v/>
      </c>
      <c r="K400" s="146" t="str">
        <f>IF(L400=0,"",IF(Ijour=0,MIN(DATE(YEAR(DebAmort),MONTH(DebAmort)+MoisD+(H400-1)*Imois,Jour2),DATE(YEAR(DebAmort),MONTH(DebAmort)+MoisD+1+(H400-1)*Imois,0)),DATE(YEAR(DebAmort),MONTH(DebAmort),Jour1+(H400-1)*Ijour)))</f>
        <v/>
      </c>
      <c r="L400" s="147">
        <f t="shared" si="5"/>
        <v>0</v>
      </c>
      <c r="M400" s="135">
        <f>IF(H400&lt;=NoEchMaxi,ROUND(L400*R400,NbDeci),0)</f>
        <v>0</v>
      </c>
      <c r="N400" s="134">
        <f>IF(OR(H400&lt;=Différé,H400&gt;NoEchMaxi),IF(DiffTotal,-M400,0),IF(H400&gt;=NoEchRemb,L400,IF(S400-(M400*EchFIXE)&gt;L400-2,L400,S400-(M400*EchFIXE))))+C400</f>
        <v>0</v>
      </c>
      <c r="O400" s="136">
        <f>IF(OR(L400=0,H400&gt;NoEchMaxi),0,ROUND(FraisF+FraisV*L400,NbDeci))+F400</f>
        <v>0</v>
      </c>
      <c r="P400" s="148">
        <f t="shared" si="3"/>
        <v>0</v>
      </c>
      <c r="Q400" s="1"/>
      <c r="R400" s="138">
        <f>IF(B400&gt;0,IF(TauxActuariel,((B400+1)^(1/NbEchAn))-1,B400/NbEchAn),R399)</f>
        <v>0.04</v>
      </c>
      <c r="S400" s="139">
        <f>IF(E400&gt;0,E400,IF(D400&gt;0,IF(AND(EchFIXE,R400&gt;0),ROUND((L400-C400)*R400/(1-((1+R400)^-D400)),NbDeci),ROUND(L400/D400,NbDeci)),S399))</f>
        <v>6664</v>
      </c>
      <c r="T400" s="1"/>
      <c r="U400" s="1"/>
      <c r="V400" s="1"/>
      <c r="W400" s="1"/>
      <c r="X400" s="1"/>
      <c r="Y400" s="1"/>
      <c r="Z400" s="1"/>
      <c r="AA400" s="1"/>
    </row>
    <row r="401" ht="12.75" customHeight="1">
      <c r="A401" s="1"/>
      <c r="B401" s="140"/>
      <c r="C401" s="141"/>
      <c r="D401" s="142"/>
      <c r="E401" s="143"/>
      <c r="F401" s="144"/>
      <c r="G401" s="1"/>
      <c r="H401" s="131" t="str">
        <f t="shared" si="4"/>
        <v/>
      </c>
      <c r="I401" s="132" t="str">
        <f>IF(L401&gt;0,NbEch+Différé+1-H401,"")</f>
        <v/>
      </c>
      <c r="J401" s="145" t="str">
        <f t="shared" si="2"/>
        <v/>
      </c>
      <c r="K401" s="146" t="str">
        <f>IF(L401=0,"",IF(Ijour=0,MIN(DATE(YEAR(DebAmort),MONTH(DebAmort)+(H401-1)*Imois,Jour1),DATE(YEAR(DebAmort),MONTH(DebAmort)+1+(H401-1)*Imois,0)),DATE(YEAR(DebAmort),MONTH(DebAmort),Jour1+(H401-1)*Ijour)))</f>
        <v/>
      </c>
      <c r="L401" s="147">
        <f t="shared" si="5"/>
        <v>0</v>
      </c>
      <c r="M401" s="135">
        <f>IF(H401&lt;=NoEchMaxi,ROUND(L401*R401,NbDeci),0)</f>
        <v>0</v>
      </c>
      <c r="N401" s="134">
        <f>IF(OR(H401&lt;=Différé,H401&gt;NoEchMaxi),IF(DiffTotal,-M401,0),IF(H401&gt;=NoEchRemb,L401,IF(S401-(M401*EchFIXE)&gt;L401-2,L401,S401-(M401*EchFIXE))))+C401</f>
        <v>0</v>
      </c>
      <c r="O401" s="136">
        <f>IF(OR(L401=0,H401&gt;NoEchMaxi),0,ROUND(FraisF+FraisV*L401,NbDeci))+F401</f>
        <v>0</v>
      </c>
      <c r="P401" s="148">
        <f t="shared" si="3"/>
        <v>0</v>
      </c>
      <c r="Q401" s="1"/>
      <c r="R401" s="138">
        <f>IF(B401&gt;0,IF(TauxActuariel,((B401+1)^(1/NbEchAn))-1,B401/NbEchAn),R400)</f>
        <v>0.04</v>
      </c>
      <c r="S401" s="139">
        <f>IF(E401&gt;0,E401,IF(D401&gt;0,IF(AND(EchFIXE,R401&gt;0),ROUND((L401-C401)*R401/(1-((1+R401)^-D401)),NbDeci),ROUND(L401/D401,NbDeci)),S400))</f>
        <v>6664</v>
      </c>
      <c r="T401" s="1"/>
      <c r="U401" s="1"/>
      <c r="V401" s="1"/>
      <c r="W401" s="1"/>
      <c r="X401" s="1"/>
      <c r="Y401" s="1"/>
      <c r="Z401" s="1"/>
      <c r="AA401" s="1"/>
    </row>
    <row r="402" ht="12.75" customHeight="1">
      <c r="A402" s="1"/>
      <c r="B402" s="140"/>
      <c r="C402" s="141"/>
      <c r="D402" s="142"/>
      <c r="E402" s="143"/>
      <c r="F402" s="144"/>
      <c r="G402" s="1"/>
      <c r="H402" s="131" t="str">
        <f t="shared" si="4"/>
        <v/>
      </c>
      <c r="I402" s="132" t="str">
        <f>IF(L402&gt;0,NbEch+Différé+1-H402,"")</f>
        <v/>
      </c>
      <c r="J402" s="145" t="str">
        <f t="shared" si="2"/>
        <v/>
      </c>
      <c r="K402" s="146" t="str">
        <f>IF(L402=0,"",IF(Ijour=0,MIN(DATE(YEAR(DebAmort),MONTH(DebAmort)+MoisD+(H402-1)*Imois,Jour2),DATE(YEAR(DebAmort),MONTH(DebAmort)+MoisD+1+(H402-1)*Imois,0)),DATE(YEAR(DebAmort),MONTH(DebAmort),Jour1+(H402-1)*Ijour)))</f>
        <v/>
      </c>
      <c r="L402" s="147">
        <f t="shared" si="5"/>
        <v>0</v>
      </c>
      <c r="M402" s="135">
        <f>IF(H402&lt;=NoEchMaxi,ROUND(L402*R402,NbDeci),0)</f>
        <v>0</v>
      </c>
      <c r="N402" s="134">
        <f>IF(OR(H402&lt;=Différé,H402&gt;NoEchMaxi),IF(DiffTotal,-M402,0),IF(H402&gt;=NoEchRemb,L402,IF(S402-(M402*EchFIXE)&gt;L402-2,L402,S402-(M402*EchFIXE))))+C402</f>
        <v>0</v>
      </c>
      <c r="O402" s="136">
        <f>IF(OR(L402=0,H402&gt;NoEchMaxi),0,ROUND(FraisF+FraisV*L402,NbDeci))+F402</f>
        <v>0</v>
      </c>
      <c r="P402" s="148">
        <f t="shared" si="3"/>
        <v>0</v>
      </c>
      <c r="Q402" s="1"/>
      <c r="R402" s="138">
        <f>IF(B402&gt;0,IF(TauxActuariel,((B402+1)^(1/NbEchAn))-1,B402/NbEchAn),R401)</f>
        <v>0.04</v>
      </c>
      <c r="S402" s="139">
        <f>IF(E402&gt;0,E402,IF(D402&gt;0,IF(AND(EchFIXE,R402&gt;0),ROUND((L402-C402)*R402/(1-((1+R402)^-D402)),NbDeci),ROUND(L402/D402,NbDeci)),S401))</f>
        <v>6664</v>
      </c>
      <c r="T402" s="1"/>
      <c r="U402" s="1"/>
      <c r="V402" s="1"/>
      <c r="W402" s="1"/>
      <c r="X402" s="1"/>
      <c r="Y402" s="1"/>
      <c r="Z402" s="1"/>
      <c r="AA402" s="1"/>
    </row>
    <row r="403" ht="12.75" customHeight="1">
      <c r="A403" s="1"/>
      <c r="B403" s="140"/>
      <c r="C403" s="141"/>
      <c r="D403" s="142"/>
      <c r="E403" s="143"/>
      <c r="F403" s="144"/>
      <c r="G403" s="1"/>
      <c r="H403" s="131" t="str">
        <f t="shared" si="4"/>
        <v/>
      </c>
      <c r="I403" s="132" t="str">
        <f>IF(L403&gt;0,NbEch+Différé+1-H403,"")</f>
        <v/>
      </c>
      <c r="J403" s="145" t="str">
        <f t="shared" si="2"/>
        <v/>
      </c>
      <c r="K403" s="146" t="str">
        <f>IF(L403=0,"",IF(Ijour=0,MIN(DATE(YEAR(DebAmort),MONTH(DebAmort)+(H403-1)*Imois,Jour1),DATE(YEAR(DebAmort),MONTH(DebAmort)+1+(H403-1)*Imois,0)),DATE(YEAR(DebAmort),MONTH(DebAmort),Jour1+(H403-1)*Ijour)))</f>
        <v/>
      </c>
      <c r="L403" s="147">
        <f t="shared" si="5"/>
        <v>0</v>
      </c>
      <c r="M403" s="135">
        <f>IF(H403&lt;=NoEchMaxi,ROUND(L403*R403,NbDeci),0)</f>
        <v>0</v>
      </c>
      <c r="N403" s="134">
        <f>IF(OR(H403&lt;=Différé,H403&gt;NoEchMaxi),IF(DiffTotal,-M403,0),IF(H403&gt;=NoEchRemb,L403,IF(S403-(M403*EchFIXE)&gt;L403-2,L403,S403-(M403*EchFIXE))))+C403</f>
        <v>0</v>
      </c>
      <c r="O403" s="136">
        <f>IF(OR(L403=0,H403&gt;NoEchMaxi),0,ROUND(FraisF+FraisV*L403,NbDeci))+F403</f>
        <v>0</v>
      </c>
      <c r="P403" s="148">
        <f t="shared" si="3"/>
        <v>0</v>
      </c>
      <c r="Q403" s="1"/>
      <c r="R403" s="138">
        <f>IF(B403&gt;0,IF(TauxActuariel,((B403+1)^(1/NbEchAn))-1,B403/NbEchAn),R402)</f>
        <v>0.04</v>
      </c>
      <c r="S403" s="139">
        <f>IF(E403&gt;0,E403,IF(D403&gt;0,IF(AND(EchFIXE,R403&gt;0),ROUND((L403-C403)*R403/(1-((1+R403)^-D403)),NbDeci),ROUND(L403/D403,NbDeci)),S402))</f>
        <v>6664</v>
      </c>
      <c r="T403" s="1"/>
      <c r="U403" s="1"/>
      <c r="V403" s="1"/>
      <c r="W403" s="1"/>
      <c r="X403" s="1"/>
      <c r="Y403" s="1"/>
      <c r="Z403" s="1"/>
      <c r="AA403" s="1"/>
    </row>
    <row r="404" ht="12.75" customHeight="1">
      <c r="A404" s="1"/>
      <c r="B404" s="140"/>
      <c r="C404" s="141"/>
      <c r="D404" s="142"/>
      <c r="E404" s="143"/>
      <c r="F404" s="144"/>
      <c r="G404" s="1"/>
      <c r="H404" s="131" t="str">
        <f t="shared" si="4"/>
        <v/>
      </c>
      <c r="I404" s="132" t="str">
        <f>IF(L404&gt;0,NbEch+Différé+1-H404,"")</f>
        <v/>
      </c>
      <c r="J404" s="145" t="str">
        <f t="shared" si="2"/>
        <v/>
      </c>
      <c r="K404" s="146" t="str">
        <f>IF(L404=0,"",IF(Ijour=0,MIN(DATE(YEAR(DebAmort),MONTH(DebAmort)+MoisD+(H404-1)*Imois,Jour2),DATE(YEAR(DebAmort),MONTH(DebAmort)+MoisD+1+(H404-1)*Imois,0)),DATE(YEAR(DebAmort),MONTH(DebAmort),Jour1+(H404-1)*Ijour)))</f>
        <v/>
      </c>
      <c r="L404" s="147">
        <f t="shared" si="5"/>
        <v>0</v>
      </c>
      <c r="M404" s="135">
        <f>IF(H404&lt;=NoEchMaxi,ROUND(L404*R404,NbDeci),0)</f>
        <v>0</v>
      </c>
      <c r="N404" s="134">
        <f>IF(OR(H404&lt;=Différé,H404&gt;NoEchMaxi),IF(DiffTotal,-M404,0),IF(H404&gt;=NoEchRemb,L404,IF(S404-(M404*EchFIXE)&gt;L404-2,L404,S404-(M404*EchFIXE))))+C404</f>
        <v>0</v>
      </c>
      <c r="O404" s="136">
        <f>IF(OR(L404=0,H404&gt;NoEchMaxi),0,ROUND(FraisF+FraisV*L404,NbDeci))+F404</f>
        <v>0</v>
      </c>
      <c r="P404" s="148">
        <f t="shared" si="3"/>
        <v>0</v>
      </c>
      <c r="Q404" s="1"/>
      <c r="R404" s="138">
        <f>IF(B404&gt;0,IF(TauxActuariel,((B404+1)^(1/NbEchAn))-1,B404/NbEchAn),R403)</f>
        <v>0.04</v>
      </c>
      <c r="S404" s="139">
        <f>IF(E404&gt;0,E404,IF(D404&gt;0,IF(AND(EchFIXE,R404&gt;0),ROUND((L404-C404)*R404/(1-((1+R404)^-D404)),NbDeci),ROUND(L404/D404,NbDeci)),S403))</f>
        <v>6664</v>
      </c>
      <c r="T404" s="1"/>
      <c r="U404" s="1"/>
      <c r="V404" s="1"/>
      <c r="W404" s="1"/>
      <c r="X404" s="1"/>
      <c r="Y404" s="1"/>
      <c r="Z404" s="1"/>
      <c r="AA404" s="1"/>
    </row>
    <row r="405" ht="12.75" customHeight="1">
      <c r="A405" s="1"/>
      <c r="B405" s="140"/>
      <c r="C405" s="141"/>
      <c r="D405" s="142"/>
      <c r="E405" s="143"/>
      <c r="F405" s="144"/>
      <c r="G405" s="1"/>
      <c r="H405" s="131" t="str">
        <f t="shared" si="4"/>
        <v/>
      </c>
      <c r="I405" s="132" t="str">
        <f>IF(L405&gt;0,NbEch+Différé+1-H405,"")</f>
        <v/>
      </c>
      <c r="J405" s="145" t="str">
        <f t="shared" si="2"/>
        <v/>
      </c>
      <c r="K405" s="146" t="str">
        <f>IF(L405=0,"",IF(Ijour=0,MIN(DATE(YEAR(DebAmort),MONTH(DebAmort)+(H405-1)*Imois,Jour1),DATE(YEAR(DebAmort),MONTH(DebAmort)+1+(H405-1)*Imois,0)),DATE(YEAR(DebAmort),MONTH(DebAmort),Jour1+(H405-1)*Ijour)))</f>
        <v/>
      </c>
      <c r="L405" s="147">
        <f t="shared" si="5"/>
        <v>0</v>
      </c>
      <c r="M405" s="135">
        <f>IF(H405&lt;=NoEchMaxi,ROUND(L405*R405,NbDeci),0)</f>
        <v>0</v>
      </c>
      <c r="N405" s="134">
        <f>IF(OR(H405&lt;=Différé,H405&gt;NoEchMaxi),IF(DiffTotal,-M405,0),IF(H405&gt;=NoEchRemb,L405,IF(S405-(M405*EchFIXE)&gt;L405-2,L405,S405-(M405*EchFIXE))))+C405</f>
        <v>0</v>
      </c>
      <c r="O405" s="136">
        <f>IF(OR(L405=0,H405&gt;NoEchMaxi),0,ROUND(FraisF+FraisV*L405,NbDeci))+F405</f>
        <v>0</v>
      </c>
      <c r="P405" s="148">
        <f t="shared" si="3"/>
        <v>0</v>
      </c>
      <c r="Q405" s="1"/>
      <c r="R405" s="138">
        <f>IF(B405&gt;0,IF(TauxActuariel,((B405+1)^(1/NbEchAn))-1,B405/NbEchAn),R404)</f>
        <v>0.04</v>
      </c>
      <c r="S405" s="139">
        <f>IF(E405&gt;0,E405,IF(D405&gt;0,IF(AND(EchFIXE,R405&gt;0),ROUND((L405-C405)*R405/(1-((1+R405)^-D405)),NbDeci),ROUND(L405/D405,NbDeci)),S404))</f>
        <v>6664</v>
      </c>
      <c r="T405" s="1"/>
      <c r="U405" s="1"/>
      <c r="V405" s="1"/>
      <c r="W405" s="1"/>
      <c r="X405" s="1"/>
      <c r="Y405" s="1"/>
      <c r="Z405" s="1"/>
      <c r="AA405" s="1"/>
    </row>
    <row r="406" ht="12.75" customHeight="1">
      <c r="A406" s="1"/>
      <c r="B406" s="140"/>
      <c r="C406" s="141"/>
      <c r="D406" s="142"/>
      <c r="E406" s="143"/>
      <c r="F406" s="144"/>
      <c r="G406" s="1"/>
      <c r="H406" s="131" t="str">
        <f t="shared" si="4"/>
        <v/>
      </c>
      <c r="I406" s="132" t="str">
        <f>IF(L406&gt;0,NbEch+Différé+1-H406,"")</f>
        <v/>
      </c>
      <c r="J406" s="145" t="str">
        <f t="shared" si="2"/>
        <v/>
      </c>
      <c r="K406" s="146" t="str">
        <f>IF(L406=0,"",IF(Ijour=0,MIN(DATE(YEAR(DebAmort),MONTH(DebAmort)+MoisD+(H406-1)*Imois,Jour2),DATE(YEAR(DebAmort),MONTH(DebAmort)+MoisD+1+(H406-1)*Imois,0)),DATE(YEAR(DebAmort),MONTH(DebAmort),Jour1+(H406-1)*Ijour)))</f>
        <v/>
      </c>
      <c r="L406" s="147">
        <f t="shared" si="5"/>
        <v>0</v>
      </c>
      <c r="M406" s="135">
        <f>IF(H406&lt;=NoEchMaxi,ROUND(L406*R406,NbDeci),0)</f>
        <v>0</v>
      </c>
      <c r="N406" s="134">
        <f>IF(OR(H406&lt;=Différé,H406&gt;NoEchMaxi),IF(DiffTotal,-M406,0),IF(H406&gt;=NoEchRemb,L406,IF(S406-(M406*EchFIXE)&gt;L406-2,L406,S406-(M406*EchFIXE))))+C406</f>
        <v>0</v>
      </c>
      <c r="O406" s="136">
        <f>IF(OR(L406=0,H406&gt;NoEchMaxi),0,ROUND(FraisF+FraisV*L406,NbDeci))+F406</f>
        <v>0</v>
      </c>
      <c r="P406" s="148">
        <f t="shared" si="3"/>
        <v>0</v>
      </c>
      <c r="Q406" s="1"/>
      <c r="R406" s="138">
        <f>IF(B406&gt;0,IF(TauxActuariel,((B406+1)^(1/NbEchAn))-1,B406/NbEchAn),R405)</f>
        <v>0.04</v>
      </c>
      <c r="S406" s="139">
        <f>IF(E406&gt;0,E406,IF(D406&gt;0,IF(AND(EchFIXE,R406&gt;0),ROUND((L406-C406)*R406/(1-((1+R406)^-D406)),NbDeci),ROUND(L406/D406,NbDeci)),S405))</f>
        <v>6664</v>
      </c>
      <c r="T406" s="1"/>
      <c r="U406" s="1"/>
      <c r="V406" s="1"/>
      <c r="W406" s="1"/>
      <c r="X406" s="1"/>
      <c r="Y406" s="1"/>
      <c r="Z406" s="1"/>
      <c r="AA406" s="1"/>
    </row>
    <row r="407" ht="12.75" customHeight="1">
      <c r="A407" s="1"/>
      <c r="B407" s="140"/>
      <c r="C407" s="141"/>
      <c r="D407" s="142"/>
      <c r="E407" s="143"/>
      <c r="F407" s="144"/>
      <c r="G407" s="1"/>
      <c r="H407" s="131" t="str">
        <f t="shared" si="4"/>
        <v/>
      </c>
      <c r="I407" s="132" t="str">
        <f>IF(L407&gt;0,NbEch+Différé+1-H407,"")</f>
        <v/>
      </c>
      <c r="J407" s="145" t="str">
        <f t="shared" si="2"/>
        <v/>
      </c>
      <c r="K407" s="146" t="str">
        <f>IF(L407=0,"",IF(Ijour=0,MIN(DATE(YEAR(DebAmort),MONTH(DebAmort)+(H407-1)*Imois,Jour1),DATE(YEAR(DebAmort),MONTH(DebAmort)+1+(H407-1)*Imois,0)),DATE(YEAR(DebAmort),MONTH(DebAmort),Jour1+(H407-1)*Ijour)))</f>
        <v/>
      </c>
      <c r="L407" s="147">
        <f t="shared" si="5"/>
        <v>0</v>
      </c>
      <c r="M407" s="135">
        <f>IF(H407&lt;=NoEchMaxi,ROUND(L407*R407,NbDeci),0)</f>
        <v>0</v>
      </c>
      <c r="N407" s="134">
        <f>IF(OR(H407&lt;=Différé,H407&gt;NoEchMaxi),IF(DiffTotal,-M407,0),IF(H407&gt;=NoEchRemb,L407,IF(S407-(M407*EchFIXE)&gt;L407-2,L407,S407-(M407*EchFIXE))))+C407</f>
        <v>0</v>
      </c>
      <c r="O407" s="136">
        <f>IF(OR(L407=0,H407&gt;NoEchMaxi),0,ROUND(FraisF+FraisV*L407,NbDeci))+F407</f>
        <v>0</v>
      </c>
      <c r="P407" s="148">
        <f t="shared" si="3"/>
        <v>0</v>
      </c>
      <c r="Q407" s="1"/>
      <c r="R407" s="138">
        <f>IF(B407&gt;0,IF(TauxActuariel,((B407+1)^(1/NbEchAn))-1,B407/NbEchAn),R406)</f>
        <v>0.04</v>
      </c>
      <c r="S407" s="139">
        <f>IF(E407&gt;0,E407,IF(D407&gt;0,IF(AND(EchFIXE,R407&gt;0),ROUND((L407-C407)*R407/(1-((1+R407)^-D407)),NbDeci),ROUND(L407/D407,NbDeci)),S406))</f>
        <v>6664</v>
      </c>
      <c r="T407" s="1"/>
      <c r="U407" s="1"/>
      <c r="V407" s="1"/>
      <c r="W407" s="1"/>
      <c r="X407" s="1"/>
      <c r="Y407" s="1"/>
      <c r="Z407" s="1"/>
      <c r="AA407" s="1"/>
    </row>
    <row r="408" ht="12.75" customHeight="1">
      <c r="A408" s="1"/>
      <c r="B408" s="140"/>
      <c r="C408" s="141"/>
      <c r="D408" s="142"/>
      <c r="E408" s="143"/>
      <c r="F408" s="144"/>
      <c r="G408" s="1"/>
      <c r="H408" s="131" t="str">
        <f t="shared" si="4"/>
        <v/>
      </c>
      <c r="I408" s="132" t="str">
        <f>IF(L408&gt;0,NbEch+Différé+1-H408,"")</f>
        <v/>
      </c>
      <c r="J408" s="145" t="str">
        <f t="shared" si="2"/>
        <v/>
      </c>
      <c r="K408" s="146" t="str">
        <f>IF(L408=0,"",IF(Ijour=0,MIN(DATE(YEAR(DebAmort),MONTH(DebAmort)+MoisD+(H408-1)*Imois,Jour2),DATE(YEAR(DebAmort),MONTH(DebAmort)+MoisD+1+(H408-1)*Imois,0)),DATE(YEAR(DebAmort),MONTH(DebAmort),Jour1+(H408-1)*Ijour)))</f>
        <v/>
      </c>
      <c r="L408" s="147">
        <f t="shared" si="5"/>
        <v>0</v>
      </c>
      <c r="M408" s="135">
        <f>IF(H408&lt;=NoEchMaxi,ROUND(L408*R408,NbDeci),0)</f>
        <v>0</v>
      </c>
      <c r="N408" s="134">
        <f>IF(OR(H408&lt;=Différé,H408&gt;NoEchMaxi),IF(DiffTotal,-M408,0),IF(H408&gt;=NoEchRemb,L408,IF(S408-(M408*EchFIXE)&gt;L408-2,L408,S408-(M408*EchFIXE))))+C408</f>
        <v>0</v>
      </c>
      <c r="O408" s="136">
        <f>IF(OR(L408=0,H408&gt;NoEchMaxi),0,ROUND(FraisF+FraisV*L408,NbDeci))+F408</f>
        <v>0</v>
      </c>
      <c r="P408" s="148">
        <f t="shared" si="3"/>
        <v>0</v>
      </c>
      <c r="Q408" s="1"/>
      <c r="R408" s="138">
        <f>IF(B408&gt;0,IF(TauxActuariel,((B408+1)^(1/NbEchAn))-1,B408/NbEchAn),R407)</f>
        <v>0.04</v>
      </c>
      <c r="S408" s="139">
        <f>IF(E408&gt;0,E408,IF(D408&gt;0,IF(AND(EchFIXE,R408&gt;0),ROUND((L408-C408)*R408/(1-((1+R408)^-D408)),NbDeci),ROUND(L408/D408,NbDeci)),S407))</f>
        <v>6664</v>
      </c>
      <c r="T408" s="1"/>
      <c r="U408" s="1"/>
      <c r="V408" s="1"/>
      <c r="W408" s="1"/>
      <c r="X408" s="1"/>
      <c r="Y408" s="1"/>
      <c r="Z408" s="1"/>
      <c r="AA408" s="1"/>
    </row>
    <row r="409" ht="12.75" customHeight="1">
      <c r="A409" s="1"/>
      <c r="B409" s="140"/>
      <c r="C409" s="141"/>
      <c r="D409" s="142"/>
      <c r="E409" s="143"/>
      <c r="F409" s="144"/>
      <c r="G409" s="1"/>
      <c r="H409" s="131" t="str">
        <f t="shared" si="4"/>
        <v/>
      </c>
      <c r="I409" s="132" t="str">
        <f>IF(L409&gt;0,NbEch+Différé+1-H409,"")</f>
        <v/>
      </c>
      <c r="J409" s="145" t="str">
        <f t="shared" si="2"/>
        <v/>
      </c>
      <c r="K409" s="146" t="str">
        <f>IF(L409=0,"",IF(Ijour=0,MIN(DATE(YEAR(DebAmort),MONTH(DebAmort)+(H409-1)*Imois,Jour1),DATE(YEAR(DebAmort),MONTH(DebAmort)+1+(H409-1)*Imois,0)),DATE(YEAR(DebAmort),MONTH(DebAmort),Jour1+(H409-1)*Ijour)))</f>
        <v/>
      </c>
      <c r="L409" s="147">
        <f t="shared" si="5"/>
        <v>0</v>
      </c>
      <c r="M409" s="135">
        <f>IF(H409&lt;=NoEchMaxi,ROUND(L409*R409,NbDeci),0)</f>
        <v>0</v>
      </c>
      <c r="N409" s="134">
        <f>IF(OR(H409&lt;=Différé,H409&gt;NoEchMaxi),IF(DiffTotal,-M409,0),IF(H409&gt;=NoEchRemb,L409,IF(S409-(M409*EchFIXE)&gt;L409-2,L409,S409-(M409*EchFIXE))))+C409</f>
        <v>0</v>
      </c>
      <c r="O409" s="136">
        <f>IF(OR(L409=0,H409&gt;NoEchMaxi),0,ROUND(FraisF+FraisV*L409,NbDeci))+F409</f>
        <v>0</v>
      </c>
      <c r="P409" s="148">
        <f t="shared" si="3"/>
        <v>0</v>
      </c>
      <c r="Q409" s="1"/>
      <c r="R409" s="138">
        <f>IF(B409&gt;0,IF(TauxActuariel,((B409+1)^(1/NbEchAn))-1,B409/NbEchAn),R408)</f>
        <v>0.04</v>
      </c>
      <c r="S409" s="139">
        <f>IF(E409&gt;0,E409,IF(D409&gt;0,IF(AND(EchFIXE,R409&gt;0),ROUND((L409-C409)*R409/(1-((1+R409)^-D409)),NbDeci),ROUND(L409/D409,NbDeci)),S408))</f>
        <v>6664</v>
      </c>
      <c r="T409" s="1"/>
      <c r="U409" s="1"/>
      <c r="V409" s="1"/>
      <c r="W409" s="1"/>
      <c r="X409" s="1"/>
      <c r="Y409" s="1"/>
      <c r="Z409" s="1"/>
      <c r="AA409" s="1"/>
    </row>
    <row r="410" ht="12.75" customHeight="1">
      <c r="A410" s="1"/>
      <c r="B410" s="140"/>
      <c r="C410" s="141"/>
      <c r="D410" s="142"/>
      <c r="E410" s="143"/>
      <c r="F410" s="144"/>
      <c r="G410" s="1"/>
      <c r="H410" s="131" t="str">
        <f t="shared" si="4"/>
        <v/>
      </c>
      <c r="I410" s="132" t="str">
        <f>IF(L410&gt;0,NbEch+Différé+1-H410,"")</f>
        <v/>
      </c>
      <c r="J410" s="145" t="str">
        <f t="shared" si="2"/>
        <v/>
      </c>
      <c r="K410" s="146" t="str">
        <f>IF(L410=0,"",IF(Ijour=0,MIN(DATE(YEAR(DebAmort),MONTH(DebAmort)+MoisD+(H410-1)*Imois,Jour2),DATE(YEAR(DebAmort),MONTH(DebAmort)+MoisD+1+(H410-1)*Imois,0)),DATE(YEAR(DebAmort),MONTH(DebAmort),Jour1+(H410-1)*Ijour)))</f>
        <v/>
      </c>
      <c r="L410" s="147">
        <f t="shared" si="5"/>
        <v>0</v>
      </c>
      <c r="M410" s="135">
        <f>IF(H410&lt;=NoEchMaxi,ROUND(L410*R410,NbDeci),0)</f>
        <v>0</v>
      </c>
      <c r="N410" s="134">
        <f>IF(OR(H410&lt;=Différé,H410&gt;NoEchMaxi),IF(DiffTotal,-M410,0),IF(H410&gt;=NoEchRemb,L410,IF(S410-(M410*EchFIXE)&gt;L410-2,L410,S410-(M410*EchFIXE))))+C410</f>
        <v>0</v>
      </c>
      <c r="O410" s="136">
        <f>IF(OR(L410=0,H410&gt;NoEchMaxi),0,ROUND(FraisF+FraisV*L410,NbDeci))+F410</f>
        <v>0</v>
      </c>
      <c r="P410" s="148">
        <f t="shared" si="3"/>
        <v>0</v>
      </c>
      <c r="Q410" s="1"/>
      <c r="R410" s="138">
        <f>IF(B410&gt;0,IF(TauxActuariel,((B410+1)^(1/NbEchAn))-1,B410/NbEchAn),R409)</f>
        <v>0.04</v>
      </c>
      <c r="S410" s="139">
        <f>IF(E410&gt;0,E410,IF(D410&gt;0,IF(AND(EchFIXE,R410&gt;0),ROUND((L410-C410)*R410/(1-((1+R410)^-D410)),NbDeci),ROUND(L410/D410,NbDeci)),S409))</f>
        <v>6664</v>
      </c>
      <c r="T410" s="1"/>
      <c r="U410" s="1"/>
      <c r="V410" s="1"/>
      <c r="W410" s="1"/>
      <c r="X410" s="1"/>
      <c r="Y410" s="1"/>
      <c r="Z410" s="1"/>
      <c r="AA410" s="1"/>
    </row>
    <row r="411" ht="12.75" customHeight="1">
      <c r="A411" s="1"/>
      <c r="B411" s="140"/>
      <c r="C411" s="141"/>
      <c r="D411" s="142"/>
      <c r="E411" s="143"/>
      <c r="F411" s="144"/>
      <c r="G411" s="1"/>
      <c r="H411" s="131" t="str">
        <f t="shared" si="4"/>
        <v/>
      </c>
      <c r="I411" s="132" t="str">
        <f>IF(L411&gt;0,NbEch+Différé+1-H411,"")</f>
        <v/>
      </c>
      <c r="J411" s="145" t="str">
        <f t="shared" si="2"/>
        <v/>
      </c>
      <c r="K411" s="146" t="str">
        <f>IF(L411=0,"",IF(Ijour=0,MIN(DATE(YEAR(DebAmort),MONTH(DebAmort)+(H411-1)*Imois,Jour1),DATE(YEAR(DebAmort),MONTH(DebAmort)+1+(H411-1)*Imois,0)),DATE(YEAR(DebAmort),MONTH(DebAmort),Jour1+(H411-1)*Ijour)))</f>
        <v/>
      </c>
      <c r="L411" s="147">
        <f t="shared" si="5"/>
        <v>0</v>
      </c>
      <c r="M411" s="135">
        <f>IF(H411&lt;=NoEchMaxi,ROUND(L411*R411,NbDeci),0)</f>
        <v>0</v>
      </c>
      <c r="N411" s="134">
        <f>IF(OR(H411&lt;=Différé,H411&gt;NoEchMaxi),IF(DiffTotal,-M411,0),IF(H411&gt;=NoEchRemb,L411,IF(S411-(M411*EchFIXE)&gt;L411-2,L411,S411-(M411*EchFIXE))))+C411</f>
        <v>0</v>
      </c>
      <c r="O411" s="136">
        <f>IF(OR(L411=0,H411&gt;NoEchMaxi),0,ROUND(FraisF+FraisV*L411,NbDeci))+F411</f>
        <v>0</v>
      </c>
      <c r="P411" s="148">
        <f t="shared" si="3"/>
        <v>0</v>
      </c>
      <c r="Q411" s="1"/>
      <c r="R411" s="138">
        <f>IF(B411&gt;0,IF(TauxActuariel,((B411+1)^(1/NbEchAn))-1,B411/NbEchAn),R410)</f>
        <v>0.04</v>
      </c>
      <c r="S411" s="139">
        <f>IF(E411&gt;0,E411,IF(D411&gt;0,IF(AND(EchFIXE,R411&gt;0),ROUND((L411-C411)*R411/(1-((1+R411)^-D411)),NbDeci),ROUND(L411/D411,NbDeci)),S410))</f>
        <v>6664</v>
      </c>
      <c r="T411" s="1"/>
      <c r="U411" s="1"/>
      <c r="V411" s="1"/>
      <c r="W411" s="1"/>
      <c r="X411" s="1"/>
      <c r="Y411" s="1"/>
      <c r="Z411" s="1"/>
      <c r="AA411" s="1"/>
    </row>
    <row r="412" ht="12.75" customHeight="1">
      <c r="A412" s="1"/>
      <c r="B412" s="140"/>
      <c r="C412" s="141"/>
      <c r="D412" s="142"/>
      <c r="E412" s="143"/>
      <c r="F412" s="144"/>
      <c r="G412" s="1"/>
      <c r="H412" s="131" t="str">
        <f t="shared" si="4"/>
        <v/>
      </c>
      <c r="I412" s="132" t="str">
        <f>IF(L412&gt;0,NbEch+Différé+1-H412,"")</f>
        <v/>
      </c>
      <c r="J412" s="145" t="str">
        <f t="shared" si="2"/>
        <v/>
      </c>
      <c r="K412" s="146" t="str">
        <f>IF(L412=0,"",IF(Ijour=0,MIN(DATE(YEAR(DebAmort),MONTH(DebAmort)+MoisD+(H412-1)*Imois,Jour2),DATE(YEAR(DebAmort),MONTH(DebAmort)+MoisD+1+(H412-1)*Imois,0)),DATE(YEAR(DebAmort),MONTH(DebAmort),Jour1+(H412-1)*Ijour)))</f>
        <v/>
      </c>
      <c r="L412" s="147">
        <f t="shared" si="5"/>
        <v>0</v>
      </c>
      <c r="M412" s="135">
        <f>IF(H412&lt;=NoEchMaxi,ROUND(L412*R412,NbDeci),0)</f>
        <v>0</v>
      </c>
      <c r="N412" s="134">
        <f>IF(OR(H412&lt;=Différé,H412&gt;NoEchMaxi),IF(DiffTotal,-M412,0),IF(H412&gt;=NoEchRemb,L412,IF(S412-(M412*EchFIXE)&gt;L412-2,L412,S412-(M412*EchFIXE))))+C412</f>
        <v>0</v>
      </c>
      <c r="O412" s="136">
        <f>IF(OR(L412=0,H412&gt;NoEchMaxi),0,ROUND(FraisF+FraisV*L412,NbDeci))+F412</f>
        <v>0</v>
      </c>
      <c r="P412" s="148">
        <f t="shared" si="3"/>
        <v>0</v>
      </c>
      <c r="Q412" s="1"/>
      <c r="R412" s="138">
        <f>IF(B412&gt;0,IF(TauxActuariel,((B412+1)^(1/NbEchAn))-1,B412/NbEchAn),R411)</f>
        <v>0.04</v>
      </c>
      <c r="S412" s="139">
        <f>IF(E412&gt;0,E412,IF(D412&gt;0,IF(AND(EchFIXE,R412&gt;0),ROUND((L412-C412)*R412/(1-((1+R412)^-D412)),NbDeci),ROUND(L412/D412,NbDeci)),S411))</f>
        <v>6664</v>
      </c>
      <c r="T412" s="1"/>
      <c r="U412" s="1"/>
      <c r="V412" s="1"/>
      <c r="W412" s="1"/>
      <c r="X412" s="1"/>
      <c r="Y412" s="1"/>
      <c r="Z412" s="1"/>
      <c r="AA412" s="1"/>
    </row>
    <row r="413" ht="12.75" customHeight="1">
      <c r="A413" s="1"/>
      <c r="B413" s="140"/>
      <c r="C413" s="141"/>
      <c r="D413" s="142"/>
      <c r="E413" s="143"/>
      <c r="F413" s="144"/>
      <c r="G413" s="1"/>
      <c r="H413" s="131" t="str">
        <f t="shared" si="4"/>
        <v/>
      </c>
      <c r="I413" s="132" t="str">
        <f>IF(L413&gt;0,NbEch+Différé+1-H413,"")</f>
        <v/>
      </c>
      <c r="J413" s="145" t="str">
        <f t="shared" si="2"/>
        <v/>
      </c>
      <c r="K413" s="146" t="str">
        <f>IF(L413=0,"",IF(Ijour=0,MIN(DATE(YEAR(DebAmort),MONTH(DebAmort)+(H413-1)*Imois,Jour1),DATE(YEAR(DebAmort),MONTH(DebAmort)+1+(H413-1)*Imois,0)),DATE(YEAR(DebAmort),MONTH(DebAmort),Jour1+(H413-1)*Ijour)))</f>
        <v/>
      </c>
      <c r="L413" s="147">
        <f t="shared" si="5"/>
        <v>0</v>
      </c>
      <c r="M413" s="135">
        <f>IF(H413&lt;=NoEchMaxi,ROUND(L413*R413,NbDeci),0)</f>
        <v>0</v>
      </c>
      <c r="N413" s="134">
        <f>IF(OR(H413&lt;=Différé,H413&gt;NoEchMaxi),IF(DiffTotal,-M413,0),IF(H413&gt;=NoEchRemb,L413,IF(S413-(M413*EchFIXE)&gt;L413-2,L413,S413-(M413*EchFIXE))))+C413</f>
        <v>0</v>
      </c>
      <c r="O413" s="136">
        <f>IF(OR(L413=0,H413&gt;NoEchMaxi),0,ROUND(FraisF+FraisV*L413,NbDeci))+F413</f>
        <v>0</v>
      </c>
      <c r="P413" s="148">
        <f t="shared" si="3"/>
        <v>0</v>
      </c>
      <c r="Q413" s="1"/>
      <c r="R413" s="138">
        <f>IF(B413&gt;0,IF(TauxActuariel,((B413+1)^(1/NbEchAn))-1,B413/NbEchAn),R412)</f>
        <v>0.04</v>
      </c>
      <c r="S413" s="139">
        <f>IF(E413&gt;0,E413,IF(D413&gt;0,IF(AND(EchFIXE,R413&gt;0),ROUND((L413-C413)*R413/(1-((1+R413)^-D413)),NbDeci),ROUND(L413/D413,NbDeci)),S412))</f>
        <v>6664</v>
      </c>
      <c r="T413" s="1"/>
      <c r="U413" s="1"/>
      <c r="V413" s="1"/>
      <c r="W413" s="1"/>
      <c r="X413" s="1"/>
      <c r="Y413" s="1"/>
      <c r="Z413" s="1"/>
      <c r="AA413" s="1"/>
    </row>
    <row r="414" ht="12.75" customHeight="1">
      <c r="A414" s="1"/>
      <c r="B414" s="140"/>
      <c r="C414" s="141"/>
      <c r="D414" s="142"/>
      <c r="E414" s="143"/>
      <c r="F414" s="144"/>
      <c r="G414" s="1"/>
      <c r="H414" s="131" t="str">
        <f t="shared" si="4"/>
        <v/>
      </c>
      <c r="I414" s="132" t="str">
        <f>IF(L414&gt;0,NbEch+Différé+1-H414,"")</f>
        <v/>
      </c>
      <c r="J414" s="145" t="str">
        <f t="shared" si="2"/>
        <v/>
      </c>
      <c r="K414" s="146" t="str">
        <f>IF(L414=0,"",IF(Ijour=0,MIN(DATE(YEAR(DebAmort),MONTH(DebAmort)+MoisD+(H414-1)*Imois,Jour2),DATE(YEAR(DebAmort),MONTH(DebAmort)+MoisD+1+(H414-1)*Imois,0)),DATE(YEAR(DebAmort),MONTH(DebAmort),Jour1+(H414-1)*Ijour)))</f>
        <v/>
      </c>
      <c r="L414" s="147">
        <f t="shared" si="5"/>
        <v>0</v>
      </c>
      <c r="M414" s="135">
        <f>IF(H414&lt;=NoEchMaxi,ROUND(L414*R414,NbDeci),0)</f>
        <v>0</v>
      </c>
      <c r="N414" s="134">
        <f>IF(OR(H414&lt;=Différé,H414&gt;NoEchMaxi),IF(DiffTotal,-M414,0),IF(H414&gt;=NoEchRemb,L414,IF(S414-(M414*EchFIXE)&gt;L414-2,L414,S414-(M414*EchFIXE))))+C414</f>
        <v>0</v>
      </c>
      <c r="O414" s="136">
        <f>IF(OR(L414=0,H414&gt;NoEchMaxi),0,ROUND(FraisF+FraisV*L414,NbDeci))+F414</f>
        <v>0</v>
      </c>
      <c r="P414" s="148">
        <f t="shared" si="3"/>
        <v>0</v>
      </c>
      <c r="Q414" s="1"/>
      <c r="R414" s="138">
        <f>IF(B414&gt;0,IF(TauxActuariel,((B414+1)^(1/NbEchAn))-1,B414/NbEchAn),R413)</f>
        <v>0.04</v>
      </c>
      <c r="S414" s="139">
        <f>IF(E414&gt;0,E414,IF(D414&gt;0,IF(AND(EchFIXE,R414&gt;0),ROUND((L414-C414)*R414/(1-((1+R414)^-D414)),NbDeci),ROUND(L414/D414,NbDeci)),S413))</f>
        <v>6664</v>
      </c>
      <c r="T414" s="1"/>
      <c r="U414" s="1"/>
      <c r="V414" s="1"/>
      <c r="W414" s="1"/>
      <c r="X414" s="1"/>
      <c r="Y414" s="1"/>
      <c r="Z414" s="1"/>
      <c r="AA414" s="1"/>
    </row>
    <row r="415" ht="12.75" customHeight="1">
      <c r="A415" s="1"/>
      <c r="B415" s="140"/>
      <c r="C415" s="141"/>
      <c r="D415" s="142"/>
      <c r="E415" s="143"/>
      <c r="F415" s="144"/>
      <c r="G415" s="1"/>
      <c r="H415" s="131" t="str">
        <f t="shared" si="4"/>
        <v/>
      </c>
      <c r="I415" s="132" t="str">
        <f>IF(L415&gt;0,NbEch+Différé+1-H415,"")</f>
        <v/>
      </c>
      <c r="J415" s="145" t="str">
        <f t="shared" si="2"/>
        <v/>
      </c>
      <c r="K415" s="146" t="str">
        <f>IF(L415=0,"",IF(Ijour=0,MIN(DATE(YEAR(DebAmort),MONTH(DebAmort)+(H415-1)*Imois,Jour1),DATE(YEAR(DebAmort),MONTH(DebAmort)+1+(H415-1)*Imois,0)),DATE(YEAR(DebAmort),MONTH(DebAmort),Jour1+(H415-1)*Ijour)))</f>
        <v/>
      </c>
      <c r="L415" s="147">
        <f t="shared" si="5"/>
        <v>0</v>
      </c>
      <c r="M415" s="135">
        <f>IF(H415&lt;=NoEchMaxi,ROUND(L415*R415,NbDeci),0)</f>
        <v>0</v>
      </c>
      <c r="N415" s="134">
        <f>IF(OR(H415&lt;=Différé,H415&gt;NoEchMaxi),IF(DiffTotal,-M415,0),IF(H415&gt;=NoEchRemb,L415,IF(S415-(M415*EchFIXE)&gt;L415-2,L415,S415-(M415*EchFIXE))))+C415</f>
        <v>0</v>
      </c>
      <c r="O415" s="136">
        <f>IF(OR(L415=0,H415&gt;NoEchMaxi),0,ROUND(FraisF+FraisV*L415,NbDeci))+F415</f>
        <v>0</v>
      </c>
      <c r="P415" s="148">
        <f t="shared" si="3"/>
        <v>0</v>
      </c>
      <c r="Q415" s="1"/>
      <c r="R415" s="138">
        <f>IF(B415&gt;0,IF(TauxActuariel,((B415+1)^(1/NbEchAn))-1,B415/NbEchAn),R414)</f>
        <v>0.04</v>
      </c>
      <c r="S415" s="139">
        <f>IF(E415&gt;0,E415,IF(D415&gt;0,IF(AND(EchFIXE,R415&gt;0),ROUND((L415-C415)*R415/(1-((1+R415)^-D415)),NbDeci),ROUND(L415/D415,NbDeci)),S414))</f>
        <v>6664</v>
      </c>
      <c r="T415" s="1"/>
      <c r="U415" s="1"/>
      <c r="V415" s="1"/>
      <c r="W415" s="1"/>
      <c r="X415" s="1"/>
      <c r="Y415" s="1"/>
      <c r="Z415" s="1"/>
      <c r="AA415" s="1"/>
    </row>
    <row r="416" ht="12.75" customHeight="1">
      <c r="A416" s="1"/>
      <c r="B416" s="140"/>
      <c r="C416" s="141"/>
      <c r="D416" s="142"/>
      <c r="E416" s="143"/>
      <c r="F416" s="144"/>
      <c r="G416" s="1"/>
      <c r="H416" s="131" t="str">
        <f t="shared" si="4"/>
        <v/>
      </c>
      <c r="I416" s="132" t="str">
        <f>IF(L416&gt;0,NbEch+Différé+1-H416,"")</f>
        <v/>
      </c>
      <c r="J416" s="145" t="str">
        <f t="shared" si="2"/>
        <v/>
      </c>
      <c r="K416" s="146" t="str">
        <f>IF(L416=0,"",IF(Ijour=0,MIN(DATE(YEAR(DebAmort),MONTH(DebAmort)+MoisD+(H416-1)*Imois,Jour2),DATE(YEAR(DebAmort),MONTH(DebAmort)+MoisD+1+(H416-1)*Imois,0)),DATE(YEAR(DebAmort),MONTH(DebAmort),Jour1+(H416-1)*Ijour)))</f>
        <v/>
      </c>
      <c r="L416" s="147">
        <f t="shared" si="5"/>
        <v>0</v>
      </c>
      <c r="M416" s="135">
        <f>IF(H416&lt;=NoEchMaxi,ROUND(L416*R416,NbDeci),0)</f>
        <v>0</v>
      </c>
      <c r="N416" s="134">
        <f>IF(OR(H416&lt;=Différé,H416&gt;NoEchMaxi),IF(DiffTotal,-M416,0),IF(H416&gt;=NoEchRemb,L416,IF(S416-(M416*EchFIXE)&gt;L416-2,L416,S416-(M416*EchFIXE))))+C416</f>
        <v>0</v>
      </c>
      <c r="O416" s="136">
        <f>IF(OR(L416=0,H416&gt;NoEchMaxi),0,ROUND(FraisF+FraisV*L416,NbDeci))+F416</f>
        <v>0</v>
      </c>
      <c r="P416" s="148">
        <f t="shared" si="3"/>
        <v>0</v>
      </c>
      <c r="Q416" s="1"/>
      <c r="R416" s="138">
        <f>IF(B416&gt;0,IF(TauxActuariel,((B416+1)^(1/NbEchAn))-1,B416/NbEchAn),R415)</f>
        <v>0.04</v>
      </c>
      <c r="S416" s="139">
        <f>IF(E416&gt;0,E416,IF(D416&gt;0,IF(AND(EchFIXE,R416&gt;0),ROUND((L416-C416)*R416/(1-((1+R416)^-D416)),NbDeci),ROUND(L416/D416,NbDeci)),S415))</f>
        <v>6664</v>
      </c>
      <c r="T416" s="1"/>
      <c r="U416" s="1"/>
      <c r="V416" s="1"/>
      <c r="W416" s="1"/>
      <c r="X416" s="1"/>
      <c r="Y416" s="1"/>
      <c r="Z416" s="1"/>
      <c r="AA416" s="1"/>
    </row>
    <row r="417" ht="12.75" customHeight="1">
      <c r="A417" s="1"/>
      <c r="B417" s="140"/>
      <c r="C417" s="141"/>
      <c r="D417" s="142"/>
      <c r="E417" s="143"/>
      <c r="F417" s="144"/>
      <c r="G417" s="1"/>
      <c r="H417" s="131" t="str">
        <f t="shared" si="4"/>
        <v/>
      </c>
      <c r="I417" s="132" t="str">
        <f>IF(L417&gt;0,NbEch+Différé+1-H417,"")</f>
        <v/>
      </c>
      <c r="J417" s="145" t="str">
        <f t="shared" si="2"/>
        <v/>
      </c>
      <c r="K417" s="146" t="str">
        <f>IF(L417=0,"",IF(Ijour=0,MIN(DATE(YEAR(DebAmort),MONTH(DebAmort)+(H417-1)*Imois,Jour1),DATE(YEAR(DebAmort),MONTH(DebAmort)+1+(H417-1)*Imois,0)),DATE(YEAR(DebAmort),MONTH(DebAmort),Jour1+(H417-1)*Ijour)))</f>
        <v/>
      </c>
      <c r="L417" s="147">
        <f t="shared" si="5"/>
        <v>0</v>
      </c>
      <c r="M417" s="135">
        <f>IF(H417&lt;=NoEchMaxi,ROUND(L417*R417,NbDeci),0)</f>
        <v>0</v>
      </c>
      <c r="N417" s="134">
        <f>IF(OR(H417&lt;=Différé,H417&gt;NoEchMaxi),IF(DiffTotal,-M417,0),IF(H417&gt;=NoEchRemb,L417,IF(S417-(M417*EchFIXE)&gt;L417-2,L417,S417-(M417*EchFIXE))))+C417</f>
        <v>0</v>
      </c>
      <c r="O417" s="136">
        <f>IF(OR(L417=0,H417&gt;NoEchMaxi),0,ROUND(FraisF+FraisV*L417,NbDeci))+F417</f>
        <v>0</v>
      </c>
      <c r="P417" s="148">
        <f t="shared" si="3"/>
        <v>0</v>
      </c>
      <c r="Q417" s="1"/>
      <c r="R417" s="138">
        <f>IF(B417&gt;0,IF(TauxActuariel,((B417+1)^(1/NbEchAn))-1,B417/NbEchAn),R416)</f>
        <v>0.04</v>
      </c>
      <c r="S417" s="139">
        <f>IF(E417&gt;0,E417,IF(D417&gt;0,IF(AND(EchFIXE,R417&gt;0),ROUND((L417-C417)*R417/(1-((1+R417)^-D417)),NbDeci),ROUND(L417/D417,NbDeci)),S416))</f>
        <v>6664</v>
      </c>
      <c r="T417" s="1"/>
      <c r="U417" s="1"/>
      <c r="V417" s="1"/>
      <c r="W417" s="1"/>
      <c r="X417" s="1"/>
      <c r="Y417" s="1"/>
      <c r="Z417" s="1"/>
      <c r="AA417" s="1"/>
    </row>
    <row r="418" ht="12.75" customHeight="1">
      <c r="A418" s="1"/>
      <c r="B418" s="140"/>
      <c r="C418" s="141"/>
      <c r="D418" s="142"/>
      <c r="E418" s="143"/>
      <c r="F418" s="144"/>
      <c r="G418" s="1"/>
      <c r="H418" s="131" t="str">
        <f t="shared" si="4"/>
        <v/>
      </c>
      <c r="I418" s="132" t="str">
        <f>IF(L418&gt;0,NbEch+Différé+1-H418,"")</f>
        <v/>
      </c>
      <c r="J418" s="145" t="str">
        <f t="shared" si="2"/>
        <v/>
      </c>
      <c r="K418" s="146" t="str">
        <f>IF(L418=0,"",IF(Ijour=0,MIN(DATE(YEAR(DebAmort),MONTH(DebAmort)+MoisD+(H418-1)*Imois,Jour2),DATE(YEAR(DebAmort),MONTH(DebAmort)+MoisD+1+(H418-1)*Imois,0)),DATE(YEAR(DebAmort),MONTH(DebAmort),Jour1+(H418-1)*Ijour)))</f>
        <v/>
      </c>
      <c r="L418" s="147">
        <f t="shared" si="5"/>
        <v>0</v>
      </c>
      <c r="M418" s="135">
        <f>IF(H418&lt;=NoEchMaxi,ROUND(L418*R418,NbDeci),0)</f>
        <v>0</v>
      </c>
      <c r="N418" s="134">
        <f>IF(OR(H418&lt;=Différé,H418&gt;NoEchMaxi),IF(DiffTotal,-M418,0),IF(H418&gt;=NoEchRemb,L418,IF(S418-(M418*EchFIXE)&gt;L418-2,L418,S418-(M418*EchFIXE))))+C418</f>
        <v>0</v>
      </c>
      <c r="O418" s="136">
        <f>IF(OR(L418=0,H418&gt;NoEchMaxi),0,ROUND(FraisF+FraisV*L418,NbDeci))+F418</f>
        <v>0</v>
      </c>
      <c r="P418" s="148">
        <f t="shared" si="3"/>
        <v>0</v>
      </c>
      <c r="Q418" s="1"/>
      <c r="R418" s="138">
        <f>IF(B418&gt;0,IF(TauxActuariel,((B418+1)^(1/NbEchAn))-1,B418/NbEchAn),R417)</f>
        <v>0.04</v>
      </c>
      <c r="S418" s="139">
        <f>IF(E418&gt;0,E418,IF(D418&gt;0,IF(AND(EchFIXE,R418&gt;0),ROUND((L418-C418)*R418/(1-((1+R418)^-D418)),NbDeci),ROUND(L418/D418,NbDeci)),S417))</f>
        <v>6664</v>
      </c>
      <c r="T418" s="1"/>
      <c r="U418" s="1"/>
      <c r="V418" s="1"/>
      <c r="W418" s="1"/>
      <c r="X418" s="1"/>
      <c r="Y418" s="1"/>
      <c r="Z418" s="1"/>
      <c r="AA418" s="1"/>
    </row>
    <row r="419" ht="12.75" customHeight="1">
      <c r="A419" s="1"/>
      <c r="B419" s="140"/>
      <c r="C419" s="141"/>
      <c r="D419" s="142"/>
      <c r="E419" s="143"/>
      <c r="F419" s="144"/>
      <c r="G419" s="1"/>
      <c r="H419" s="131" t="str">
        <f t="shared" si="4"/>
        <v/>
      </c>
      <c r="I419" s="132" t="str">
        <f>IF(L419&gt;0,NbEch+Différé+1-H419,"")</f>
        <v/>
      </c>
      <c r="J419" s="145" t="str">
        <f t="shared" si="2"/>
        <v/>
      </c>
      <c r="K419" s="146" t="str">
        <f>IF(L419=0,"",IF(Ijour=0,MIN(DATE(YEAR(DebAmort),MONTH(DebAmort)+(H419-1)*Imois,Jour1),DATE(YEAR(DebAmort),MONTH(DebAmort)+1+(H419-1)*Imois,0)),DATE(YEAR(DebAmort),MONTH(DebAmort),Jour1+(H419-1)*Ijour)))</f>
        <v/>
      </c>
      <c r="L419" s="147">
        <f t="shared" si="5"/>
        <v>0</v>
      </c>
      <c r="M419" s="135">
        <f>IF(H419&lt;=NoEchMaxi,ROUND(L419*R419,NbDeci),0)</f>
        <v>0</v>
      </c>
      <c r="N419" s="134">
        <f>IF(OR(H419&lt;=Différé,H419&gt;NoEchMaxi),IF(DiffTotal,-M419,0),IF(H419&gt;=NoEchRemb,L419,IF(S419-(M419*EchFIXE)&gt;L419-2,L419,S419-(M419*EchFIXE))))+C419</f>
        <v>0</v>
      </c>
      <c r="O419" s="136">
        <f>IF(OR(L419=0,H419&gt;NoEchMaxi),0,ROUND(FraisF+FraisV*L419,NbDeci))+F419</f>
        <v>0</v>
      </c>
      <c r="P419" s="148">
        <f t="shared" si="3"/>
        <v>0</v>
      </c>
      <c r="Q419" s="1"/>
      <c r="R419" s="138">
        <f>IF(B419&gt;0,IF(TauxActuariel,((B419+1)^(1/NbEchAn))-1,B419/NbEchAn),R418)</f>
        <v>0.04</v>
      </c>
      <c r="S419" s="139">
        <f>IF(E419&gt;0,E419,IF(D419&gt;0,IF(AND(EchFIXE,R419&gt;0),ROUND((L419-C419)*R419/(1-((1+R419)^-D419)),NbDeci),ROUND(L419/D419,NbDeci)),S418))</f>
        <v>6664</v>
      </c>
      <c r="T419" s="1"/>
      <c r="U419" s="1"/>
      <c r="V419" s="1"/>
      <c r="W419" s="1"/>
      <c r="X419" s="1"/>
      <c r="Y419" s="1"/>
      <c r="Z419" s="1"/>
      <c r="AA419" s="1"/>
    </row>
    <row r="420" ht="12.75" customHeight="1">
      <c r="A420" s="1"/>
      <c r="B420" s="140"/>
      <c r="C420" s="141"/>
      <c r="D420" s="142"/>
      <c r="E420" s="143"/>
      <c r="F420" s="144"/>
      <c r="G420" s="1"/>
      <c r="H420" s="131" t="str">
        <f t="shared" si="4"/>
        <v/>
      </c>
      <c r="I420" s="132" t="str">
        <f>IF(L420&gt;0,NbEch+Différé+1-H420,"")</f>
        <v/>
      </c>
      <c r="J420" s="145" t="str">
        <f t="shared" si="2"/>
        <v/>
      </c>
      <c r="K420" s="146" t="str">
        <f>IF(L420=0,"",IF(Ijour=0,MIN(DATE(YEAR(DebAmort),MONTH(DebAmort)+MoisD+(H420-1)*Imois,Jour2),DATE(YEAR(DebAmort),MONTH(DebAmort)+MoisD+1+(H420-1)*Imois,0)),DATE(YEAR(DebAmort),MONTH(DebAmort),Jour1+(H420-1)*Ijour)))</f>
        <v/>
      </c>
      <c r="L420" s="147">
        <f t="shared" si="5"/>
        <v>0</v>
      </c>
      <c r="M420" s="135">
        <f>IF(H420&lt;=NoEchMaxi,ROUND(L420*R420,NbDeci),0)</f>
        <v>0</v>
      </c>
      <c r="N420" s="134">
        <f>IF(OR(H420&lt;=Différé,H420&gt;NoEchMaxi),IF(DiffTotal,-M420,0),IF(H420&gt;=NoEchRemb,L420,IF(S420-(M420*EchFIXE)&gt;L420-2,L420,S420-(M420*EchFIXE))))+C420</f>
        <v>0</v>
      </c>
      <c r="O420" s="136">
        <f>IF(OR(L420=0,H420&gt;NoEchMaxi),0,ROUND(FraisF+FraisV*L420,NbDeci))+F420</f>
        <v>0</v>
      </c>
      <c r="P420" s="148">
        <f t="shared" si="3"/>
        <v>0</v>
      </c>
      <c r="Q420" s="1"/>
      <c r="R420" s="138">
        <f>IF(B420&gt;0,IF(TauxActuariel,((B420+1)^(1/NbEchAn))-1,B420/NbEchAn),R419)</f>
        <v>0.04</v>
      </c>
      <c r="S420" s="139">
        <f>IF(E420&gt;0,E420,IF(D420&gt;0,IF(AND(EchFIXE,R420&gt;0),ROUND((L420-C420)*R420/(1-((1+R420)^-D420)),NbDeci),ROUND(L420/D420,NbDeci)),S419))</f>
        <v>6664</v>
      </c>
      <c r="T420" s="1"/>
      <c r="U420" s="1"/>
      <c r="V420" s="1"/>
      <c r="W420" s="1"/>
      <c r="X420" s="1"/>
      <c r="Y420" s="1"/>
      <c r="Z420" s="1"/>
      <c r="AA420" s="1"/>
    </row>
    <row r="421" ht="12.75" customHeight="1">
      <c r="A421" s="1"/>
      <c r="B421" s="140"/>
      <c r="C421" s="141"/>
      <c r="D421" s="142"/>
      <c r="E421" s="143"/>
      <c r="F421" s="144"/>
      <c r="G421" s="1"/>
      <c r="H421" s="131" t="str">
        <f t="shared" si="4"/>
        <v/>
      </c>
      <c r="I421" s="132" t="str">
        <f>IF(L421&gt;0,NbEch+Différé+1-H421,"")</f>
        <v/>
      </c>
      <c r="J421" s="145" t="str">
        <f t="shared" si="2"/>
        <v/>
      </c>
      <c r="K421" s="146" t="str">
        <f>IF(L421=0,"",IF(Ijour=0,MIN(DATE(YEAR(DebAmort),MONTH(DebAmort)+(H421-1)*Imois,Jour1),DATE(YEAR(DebAmort),MONTH(DebAmort)+1+(H421-1)*Imois,0)),DATE(YEAR(DebAmort),MONTH(DebAmort),Jour1+(H421-1)*Ijour)))</f>
        <v/>
      </c>
      <c r="L421" s="147">
        <f t="shared" si="5"/>
        <v>0</v>
      </c>
      <c r="M421" s="135">
        <f>IF(H421&lt;=NoEchMaxi,ROUND(L421*R421,NbDeci),0)</f>
        <v>0</v>
      </c>
      <c r="N421" s="134">
        <f>IF(OR(H421&lt;=Différé,H421&gt;NoEchMaxi),IF(DiffTotal,-M421,0),IF(H421&gt;=NoEchRemb,L421,IF(S421-(M421*EchFIXE)&gt;L421-2,L421,S421-(M421*EchFIXE))))+C421</f>
        <v>0</v>
      </c>
      <c r="O421" s="136">
        <f>IF(OR(L421=0,H421&gt;NoEchMaxi),0,ROUND(FraisF+FraisV*L421,NbDeci))+F421</f>
        <v>0</v>
      </c>
      <c r="P421" s="148">
        <f t="shared" si="3"/>
        <v>0</v>
      </c>
      <c r="Q421" s="1"/>
      <c r="R421" s="138">
        <f>IF(B421&gt;0,IF(TauxActuariel,((B421+1)^(1/NbEchAn))-1,B421/NbEchAn),R420)</f>
        <v>0.04</v>
      </c>
      <c r="S421" s="139">
        <f>IF(E421&gt;0,E421,IF(D421&gt;0,IF(AND(EchFIXE,R421&gt;0),ROUND((L421-C421)*R421/(1-((1+R421)^-D421)),NbDeci),ROUND(L421/D421,NbDeci)),S420))</f>
        <v>6664</v>
      </c>
      <c r="T421" s="1"/>
      <c r="U421" s="1"/>
      <c r="V421" s="1"/>
      <c r="W421" s="1"/>
      <c r="X421" s="1"/>
      <c r="Y421" s="1"/>
      <c r="Z421" s="1"/>
      <c r="AA421" s="1"/>
    </row>
    <row r="422" ht="12.75" customHeight="1">
      <c r="A422" s="1"/>
      <c r="B422" s="140"/>
      <c r="C422" s="141"/>
      <c r="D422" s="142"/>
      <c r="E422" s="143"/>
      <c r="F422" s="144"/>
      <c r="G422" s="1"/>
      <c r="H422" s="131" t="str">
        <f t="shared" si="4"/>
        <v/>
      </c>
      <c r="I422" s="132" t="str">
        <f>IF(L422&gt;0,NbEch+Différé+1-H422,"")</f>
        <v/>
      </c>
      <c r="J422" s="145" t="str">
        <f t="shared" si="2"/>
        <v/>
      </c>
      <c r="K422" s="146" t="str">
        <f>IF(L422=0,"",IF(Ijour=0,MIN(DATE(YEAR(DebAmort),MONTH(DebAmort)+MoisD+(H422-1)*Imois,Jour2),DATE(YEAR(DebAmort),MONTH(DebAmort)+MoisD+1+(H422-1)*Imois,0)),DATE(YEAR(DebAmort),MONTH(DebAmort),Jour1+(H422-1)*Ijour)))</f>
        <v/>
      </c>
      <c r="L422" s="147">
        <f t="shared" si="5"/>
        <v>0</v>
      </c>
      <c r="M422" s="135">
        <f>IF(H422&lt;=NoEchMaxi,ROUND(L422*R422,NbDeci),0)</f>
        <v>0</v>
      </c>
      <c r="N422" s="134">
        <f>IF(OR(H422&lt;=Différé,H422&gt;NoEchMaxi),IF(DiffTotal,-M422,0),IF(H422&gt;=NoEchRemb,L422,IF(S422-(M422*EchFIXE)&gt;L422-2,L422,S422-(M422*EchFIXE))))+C422</f>
        <v>0</v>
      </c>
      <c r="O422" s="136">
        <f>IF(OR(L422=0,H422&gt;NoEchMaxi),0,ROUND(FraisF+FraisV*L422,NbDeci))+F422</f>
        <v>0</v>
      </c>
      <c r="P422" s="148">
        <f t="shared" si="3"/>
        <v>0</v>
      </c>
      <c r="Q422" s="1"/>
      <c r="R422" s="138">
        <f>IF(B422&gt;0,IF(TauxActuariel,((B422+1)^(1/NbEchAn))-1,B422/NbEchAn),R421)</f>
        <v>0.04</v>
      </c>
      <c r="S422" s="139">
        <f>IF(E422&gt;0,E422,IF(D422&gt;0,IF(AND(EchFIXE,R422&gt;0),ROUND((L422-C422)*R422/(1-((1+R422)^-D422)),NbDeci),ROUND(L422/D422,NbDeci)),S421))</f>
        <v>6664</v>
      </c>
      <c r="T422" s="1"/>
      <c r="U422" s="1"/>
      <c r="V422" s="1"/>
      <c r="W422" s="1"/>
      <c r="X422" s="1"/>
      <c r="Y422" s="1"/>
      <c r="Z422" s="1"/>
      <c r="AA422" s="1"/>
    </row>
    <row r="423" ht="12.75" customHeight="1">
      <c r="A423" s="1"/>
      <c r="B423" s="140"/>
      <c r="C423" s="141"/>
      <c r="D423" s="142"/>
      <c r="E423" s="143"/>
      <c r="F423" s="144"/>
      <c r="G423" s="1"/>
      <c r="H423" s="131" t="str">
        <f t="shared" si="4"/>
        <v/>
      </c>
      <c r="I423" s="132" t="str">
        <f>IF(L423&gt;0,NbEch+Différé+1-H423,"")</f>
        <v/>
      </c>
      <c r="J423" s="145" t="str">
        <f t="shared" si="2"/>
        <v/>
      </c>
      <c r="K423" s="146" t="str">
        <f>IF(L423=0,"",IF(Ijour=0,MIN(DATE(YEAR(DebAmort),MONTH(DebAmort)+(H423-1)*Imois,Jour1),DATE(YEAR(DebAmort),MONTH(DebAmort)+1+(H423-1)*Imois,0)),DATE(YEAR(DebAmort),MONTH(DebAmort),Jour1+(H423-1)*Ijour)))</f>
        <v/>
      </c>
      <c r="L423" s="147">
        <f t="shared" si="5"/>
        <v>0</v>
      </c>
      <c r="M423" s="135">
        <f>IF(H423&lt;=NoEchMaxi,ROUND(L423*R423,NbDeci),0)</f>
        <v>0</v>
      </c>
      <c r="N423" s="134">
        <f>IF(OR(H423&lt;=Différé,H423&gt;NoEchMaxi),IF(DiffTotal,-M423,0),IF(H423&gt;=NoEchRemb,L423,IF(S423-(M423*EchFIXE)&gt;L423-2,L423,S423-(M423*EchFIXE))))+C423</f>
        <v>0</v>
      </c>
      <c r="O423" s="136">
        <f>IF(OR(L423=0,H423&gt;NoEchMaxi),0,ROUND(FraisF+FraisV*L423,NbDeci))+F423</f>
        <v>0</v>
      </c>
      <c r="P423" s="148">
        <f t="shared" si="3"/>
        <v>0</v>
      </c>
      <c r="Q423" s="1"/>
      <c r="R423" s="138">
        <f>IF(B423&gt;0,IF(TauxActuariel,((B423+1)^(1/NbEchAn))-1,B423/NbEchAn),R422)</f>
        <v>0.04</v>
      </c>
      <c r="S423" s="139">
        <f>IF(E423&gt;0,E423,IF(D423&gt;0,IF(AND(EchFIXE,R423&gt;0),ROUND((L423-C423)*R423/(1-((1+R423)^-D423)),NbDeci),ROUND(L423/D423,NbDeci)),S422))</f>
        <v>6664</v>
      </c>
      <c r="T423" s="1"/>
      <c r="U423" s="1"/>
      <c r="V423" s="1"/>
      <c r="W423" s="1"/>
      <c r="X423" s="1"/>
      <c r="Y423" s="1"/>
      <c r="Z423" s="1"/>
      <c r="AA423" s="1"/>
    </row>
    <row r="424" ht="12.75" customHeight="1">
      <c r="A424" s="1"/>
      <c r="B424" s="140"/>
      <c r="C424" s="141"/>
      <c r="D424" s="142"/>
      <c r="E424" s="143"/>
      <c r="F424" s="144"/>
      <c r="G424" s="1"/>
      <c r="H424" s="131" t="str">
        <f t="shared" si="4"/>
        <v/>
      </c>
      <c r="I424" s="132" t="str">
        <f>IF(L424&gt;0,NbEch+Différé+1-H424,"")</f>
        <v/>
      </c>
      <c r="J424" s="145" t="str">
        <f t="shared" si="2"/>
        <v/>
      </c>
      <c r="K424" s="146" t="str">
        <f>IF(L424=0,"",IF(Ijour=0,MIN(DATE(YEAR(DebAmort),MONTH(DebAmort)+MoisD+(H424-1)*Imois,Jour2),DATE(YEAR(DebAmort),MONTH(DebAmort)+MoisD+1+(H424-1)*Imois,0)),DATE(YEAR(DebAmort),MONTH(DebAmort),Jour1+(H424-1)*Ijour)))</f>
        <v/>
      </c>
      <c r="L424" s="147">
        <f t="shared" si="5"/>
        <v>0</v>
      </c>
      <c r="M424" s="135">
        <f>IF(H424&lt;=NoEchMaxi,ROUND(L424*R424,NbDeci),0)</f>
        <v>0</v>
      </c>
      <c r="N424" s="134">
        <f>IF(OR(H424&lt;=Différé,H424&gt;NoEchMaxi),IF(DiffTotal,-M424,0),IF(H424&gt;=NoEchRemb,L424,IF(S424-(M424*EchFIXE)&gt;L424-2,L424,S424-(M424*EchFIXE))))+C424</f>
        <v>0</v>
      </c>
      <c r="O424" s="136">
        <f>IF(OR(L424=0,H424&gt;NoEchMaxi),0,ROUND(FraisF+FraisV*L424,NbDeci))+F424</f>
        <v>0</v>
      </c>
      <c r="P424" s="148">
        <f t="shared" si="3"/>
        <v>0</v>
      </c>
      <c r="Q424" s="1"/>
      <c r="R424" s="138">
        <f>IF(B424&gt;0,IF(TauxActuariel,((B424+1)^(1/NbEchAn))-1,B424/NbEchAn),R423)</f>
        <v>0.04</v>
      </c>
      <c r="S424" s="139">
        <f>IF(E424&gt;0,E424,IF(D424&gt;0,IF(AND(EchFIXE,R424&gt;0),ROUND((L424-C424)*R424/(1-((1+R424)^-D424)),NbDeci),ROUND(L424/D424,NbDeci)),S423))</f>
        <v>6664</v>
      </c>
      <c r="T424" s="1"/>
      <c r="U424" s="1"/>
      <c r="V424" s="1"/>
      <c r="W424" s="1"/>
      <c r="X424" s="1"/>
      <c r="Y424" s="1"/>
      <c r="Z424" s="1"/>
      <c r="AA424" s="1"/>
    </row>
    <row r="425" ht="12.75" customHeight="1">
      <c r="A425" s="1"/>
      <c r="B425" s="140"/>
      <c r="C425" s="141"/>
      <c r="D425" s="142"/>
      <c r="E425" s="143"/>
      <c r="F425" s="144"/>
      <c r="G425" s="1"/>
      <c r="H425" s="131" t="str">
        <f t="shared" si="4"/>
        <v/>
      </c>
      <c r="I425" s="132" t="str">
        <f>IF(L425&gt;0,NbEch+Différé+1-H425,"")</f>
        <v/>
      </c>
      <c r="J425" s="145" t="str">
        <f t="shared" si="2"/>
        <v/>
      </c>
      <c r="K425" s="146" t="str">
        <f>IF(L425=0,"",IF(Ijour=0,MIN(DATE(YEAR(DebAmort),MONTH(DebAmort)+(H425-1)*Imois,Jour1),DATE(YEAR(DebAmort),MONTH(DebAmort)+1+(H425-1)*Imois,0)),DATE(YEAR(DebAmort),MONTH(DebAmort),Jour1+(H425-1)*Ijour)))</f>
        <v/>
      </c>
      <c r="L425" s="147">
        <f t="shared" si="5"/>
        <v>0</v>
      </c>
      <c r="M425" s="135">
        <f>IF(H425&lt;=NoEchMaxi,ROUND(L425*R425,NbDeci),0)</f>
        <v>0</v>
      </c>
      <c r="N425" s="134">
        <f>IF(OR(H425&lt;=Différé,H425&gt;NoEchMaxi),IF(DiffTotal,-M425,0),IF(H425&gt;=NoEchRemb,L425,IF(S425-(M425*EchFIXE)&gt;L425-2,L425,S425-(M425*EchFIXE))))+C425</f>
        <v>0</v>
      </c>
      <c r="O425" s="136">
        <f>IF(OR(L425=0,H425&gt;NoEchMaxi),0,ROUND(FraisF+FraisV*L425,NbDeci))+F425</f>
        <v>0</v>
      </c>
      <c r="P425" s="148">
        <f t="shared" si="3"/>
        <v>0</v>
      </c>
      <c r="Q425" s="1"/>
      <c r="R425" s="138">
        <f>IF(B425&gt;0,IF(TauxActuariel,((B425+1)^(1/NbEchAn))-1,B425/NbEchAn),R424)</f>
        <v>0.04</v>
      </c>
      <c r="S425" s="139">
        <f>IF(E425&gt;0,E425,IF(D425&gt;0,IF(AND(EchFIXE,R425&gt;0),ROUND((L425-C425)*R425/(1-((1+R425)^-D425)),NbDeci),ROUND(L425/D425,NbDeci)),S424))</f>
        <v>6664</v>
      </c>
      <c r="T425" s="1"/>
      <c r="U425" s="1"/>
      <c r="V425" s="1"/>
      <c r="W425" s="1"/>
      <c r="X425" s="1"/>
      <c r="Y425" s="1"/>
      <c r="Z425" s="1"/>
      <c r="AA425" s="1"/>
    </row>
    <row r="426" ht="12.75" customHeight="1">
      <c r="A426" s="1"/>
      <c r="B426" s="140"/>
      <c r="C426" s="141"/>
      <c r="D426" s="142"/>
      <c r="E426" s="143"/>
      <c r="F426" s="144"/>
      <c r="G426" s="1"/>
      <c r="H426" s="131" t="str">
        <f t="shared" si="4"/>
        <v/>
      </c>
      <c r="I426" s="132" t="str">
        <f>IF(L426&gt;0,NbEch+Différé+1-H426,"")</f>
        <v/>
      </c>
      <c r="J426" s="145" t="str">
        <f t="shared" si="2"/>
        <v/>
      </c>
      <c r="K426" s="146" t="str">
        <f>IF(L426=0,"",IF(Ijour=0,MIN(DATE(YEAR(DebAmort),MONTH(DebAmort)+MoisD+(H426-1)*Imois,Jour2),DATE(YEAR(DebAmort),MONTH(DebAmort)+MoisD+1+(H426-1)*Imois,0)),DATE(YEAR(DebAmort),MONTH(DebAmort),Jour1+(H426-1)*Ijour)))</f>
        <v/>
      </c>
      <c r="L426" s="147">
        <f t="shared" si="5"/>
        <v>0</v>
      </c>
      <c r="M426" s="135">
        <f>IF(H426&lt;=NoEchMaxi,ROUND(L426*R426,NbDeci),0)</f>
        <v>0</v>
      </c>
      <c r="N426" s="134">
        <f>IF(OR(H426&lt;=Différé,H426&gt;NoEchMaxi),IF(DiffTotal,-M426,0),IF(H426&gt;=NoEchRemb,L426,IF(S426-(M426*EchFIXE)&gt;L426-2,L426,S426-(M426*EchFIXE))))+C426</f>
        <v>0</v>
      </c>
      <c r="O426" s="136">
        <f>IF(OR(L426=0,H426&gt;NoEchMaxi),0,ROUND(FraisF+FraisV*L426,NbDeci))+F426</f>
        <v>0</v>
      </c>
      <c r="P426" s="148">
        <f t="shared" si="3"/>
        <v>0</v>
      </c>
      <c r="Q426" s="1"/>
      <c r="R426" s="138">
        <f>IF(B426&gt;0,IF(TauxActuariel,((B426+1)^(1/NbEchAn))-1,B426/NbEchAn),R425)</f>
        <v>0.04</v>
      </c>
      <c r="S426" s="139">
        <f>IF(E426&gt;0,E426,IF(D426&gt;0,IF(AND(EchFIXE,R426&gt;0),ROUND((L426-C426)*R426/(1-((1+R426)^-D426)),NbDeci),ROUND(L426/D426,NbDeci)),S425))</f>
        <v>6664</v>
      </c>
      <c r="T426" s="1"/>
      <c r="U426" s="1"/>
      <c r="V426" s="1"/>
      <c r="W426" s="1"/>
      <c r="X426" s="1"/>
      <c r="Y426" s="1"/>
      <c r="Z426" s="1"/>
      <c r="AA426" s="1"/>
    </row>
    <row r="427" ht="12.75" customHeight="1">
      <c r="A427" s="1"/>
      <c r="B427" s="140"/>
      <c r="C427" s="141"/>
      <c r="D427" s="142"/>
      <c r="E427" s="143"/>
      <c r="F427" s="144"/>
      <c r="G427" s="1"/>
      <c r="H427" s="131" t="str">
        <f t="shared" si="4"/>
        <v/>
      </c>
      <c r="I427" s="132" t="str">
        <f>IF(L427&gt;0,NbEch+Différé+1-H427,"")</f>
        <v/>
      </c>
      <c r="J427" s="145" t="str">
        <f t="shared" si="2"/>
        <v/>
      </c>
      <c r="K427" s="146" t="str">
        <f>IF(L427=0,"",IF(Ijour=0,MIN(DATE(YEAR(DebAmort),MONTH(DebAmort)+(H427-1)*Imois,Jour1),DATE(YEAR(DebAmort),MONTH(DebAmort)+1+(H427-1)*Imois,0)),DATE(YEAR(DebAmort),MONTH(DebAmort),Jour1+(H427-1)*Ijour)))</f>
        <v/>
      </c>
      <c r="L427" s="147">
        <f t="shared" si="5"/>
        <v>0</v>
      </c>
      <c r="M427" s="135">
        <f>IF(H427&lt;=NoEchMaxi,ROUND(L427*R427,NbDeci),0)</f>
        <v>0</v>
      </c>
      <c r="N427" s="134">
        <f>IF(OR(H427&lt;=Différé,H427&gt;NoEchMaxi),IF(DiffTotal,-M427,0),IF(H427&gt;=NoEchRemb,L427,IF(S427-(M427*EchFIXE)&gt;L427-2,L427,S427-(M427*EchFIXE))))+C427</f>
        <v>0</v>
      </c>
      <c r="O427" s="136">
        <f>IF(OR(L427=0,H427&gt;NoEchMaxi),0,ROUND(FraisF+FraisV*L427,NbDeci))+F427</f>
        <v>0</v>
      </c>
      <c r="P427" s="148">
        <f t="shared" si="3"/>
        <v>0</v>
      </c>
      <c r="Q427" s="1"/>
      <c r="R427" s="138">
        <f>IF(B427&gt;0,IF(TauxActuariel,((B427+1)^(1/NbEchAn))-1,B427/NbEchAn),R426)</f>
        <v>0.04</v>
      </c>
      <c r="S427" s="139">
        <f>IF(E427&gt;0,E427,IF(D427&gt;0,IF(AND(EchFIXE,R427&gt;0),ROUND((L427-C427)*R427/(1-((1+R427)^-D427)),NbDeci),ROUND(L427/D427,NbDeci)),S426))</f>
        <v>6664</v>
      </c>
      <c r="T427" s="1"/>
      <c r="U427" s="1"/>
      <c r="V427" s="1"/>
      <c r="W427" s="1"/>
      <c r="X427" s="1"/>
      <c r="Y427" s="1"/>
      <c r="Z427" s="1"/>
      <c r="AA427" s="1"/>
    </row>
    <row r="428" ht="12.75" customHeight="1">
      <c r="A428" s="1"/>
      <c r="B428" s="140"/>
      <c r="C428" s="141"/>
      <c r="D428" s="142"/>
      <c r="E428" s="143"/>
      <c r="F428" s="144"/>
      <c r="G428" s="1"/>
      <c r="H428" s="131" t="str">
        <f t="shared" si="4"/>
        <v/>
      </c>
      <c r="I428" s="132" t="str">
        <f>IF(L428&gt;0,NbEch+Différé+1-H428,"")</f>
        <v/>
      </c>
      <c r="J428" s="145" t="str">
        <f t="shared" si="2"/>
        <v/>
      </c>
      <c r="K428" s="146" t="str">
        <f>IF(L428=0,"",IF(Ijour=0,MIN(DATE(YEAR(DebAmort),MONTH(DebAmort)+MoisD+(H428-1)*Imois,Jour2),DATE(YEAR(DebAmort),MONTH(DebAmort)+MoisD+1+(H428-1)*Imois,0)),DATE(YEAR(DebAmort),MONTH(DebAmort),Jour1+(H428-1)*Ijour)))</f>
        <v/>
      </c>
      <c r="L428" s="147">
        <f t="shared" si="5"/>
        <v>0</v>
      </c>
      <c r="M428" s="135">
        <f>IF(H428&lt;=NoEchMaxi,ROUND(L428*R428,NbDeci),0)</f>
        <v>0</v>
      </c>
      <c r="N428" s="134">
        <f>IF(OR(H428&lt;=Différé,H428&gt;NoEchMaxi),IF(DiffTotal,-M428,0),IF(H428&gt;=NoEchRemb,L428,IF(S428-(M428*EchFIXE)&gt;L428-2,L428,S428-(M428*EchFIXE))))+C428</f>
        <v>0</v>
      </c>
      <c r="O428" s="136">
        <f>IF(OR(L428=0,H428&gt;NoEchMaxi),0,ROUND(FraisF+FraisV*L428,NbDeci))+F428</f>
        <v>0</v>
      </c>
      <c r="P428" s="148">
        <f t="shared" si="3"/>
        <v>0</v>
      </c>
      <c r="Q428" s="1"/>
      <c r="R428" s="138">
        <f>IF(B428&gt;0,IF(TauxActuariel,((B428+1)^(1/NbEchAn))-1,B428/NbEchAn),R427)</f>
        <v>0.04</v>
      </c>
      <c r="S428" s="139">
        <f>IF(E428&gt;0,E428,IF(D428&gt;0,IF(AND(EchFIXE,R428&gt;0),ROUND((L428-C428)*R428/(1-((1+R428)^-D428)),NbDeci),ROUND(L428/D428,NbDeci)),S427))</f>
        <v>6664</v>
      </c>
      <c r="T428" s="1"/>
      <c r="U428" s="1"/>
      <c r="V428" s="1"/>
      <c r="W428" s="1"/>
      <c r="X428" s="1"/>
      <c r="Y428" s="1"/>
      <c r="Z428" s="1"/>
      <c r="AA428" s="1"/>
    </row>
    <row r="429" ht="12.75" customHeight="1">
      <c r="A429" s="1"/>
      <c r="B429" s="140"/>
      <c r="C429" s="141"/>
      <c r="D429" s="142"/>
      <c r="E429" s="143"/>
      <c r="F429" s="144"/>
      <c r="G429" s="1"/>
      <c r="H429" s="131" t="str">
        <f t="shared" si="4"/>
        <v/>
      </c>
      <c r="I429" s="132" t="str">
        <f>IF(L429&gt;0,NbEch+Différé+1-H429,"")</f>
        <v/>
      </c>
      <c r="J429" s="145" t="str">
        <f t="shared" si="2"/>
        <v/>
      </c>
      <c r="K429" s="146" t="str">
        <f>IF(L429=0,"",IF(Ijour=0,MIN(DATE(YEAR(DebAmort),MONTH(DebAmort)+(H429-1)*Imois,Jour1),DATE(YEAR(DebAmort),MONTH(DebAmort)+1+(H429-1)*Imois,0)),DATE(YEAR(DebAmort),MONTH(DebAmort),Jour1+(H429-1)*Ijour)))</f>
        <v/>
      </c>
      <c r="L429" s="147">
        <f t="shared" si="5"/>
        <v>0</v>
      </c>
      <c r="M429" s="135">
        <f>IF(H429&lt;=NoEchMaxi,ROUND(L429*R429,NbDeci),0)</f>
        <v>0</v>
      </c>
      <c r="N429" s="134">
        <f>IF(OR(H429&lt;=Différé,H429&gt;NoEchMaxi),IF(DiffTotal,-M429,0),IF(H429&gt;=NoEchRemb,L429,IF(S429-(M429*EchFIXE)&gt;L429-2,L429,S429-(M429*EchFIXE))))+C429</f>
        <v>0</v>
      </c>
      <c r="O429" s="136">
        <f>IF(OR(L429=0,H429&gt;NoEchMaxi),0,ROUND(FraisF+FraisV*L429,NbDeci))+F429</f>
        <v>0</v>
      </c>
      <c r="P429" s="148">
        <f t="shared" si="3"/>
        <v>0</v>
      </c>
      <c r="Q429" s="1"/>
      <c r="R429" s="138">
        <f>IF(B429&gt;0,IF(TauxActuariel,((B429+1)^(1/NbEchAn))-1,B429/NbEchAn),R428)</f>
        <v>0.04</v>
      </c>
      <c r="S429" s="139">
        <f>IF(E429&gt;0,E429,IF(D429&gt;0,IF(AND(EchFIXE,R429&gt;0),ROUND((L429-C429)*R429/(1-((1+R429)^-D429)),NbDeci),ROUND(L429/D429,NbDeci)),S428))</f>
        <v>6664</v>
      </c>
      <c r="T429" s="1"/>
      <c r="U429" s="1"/>
      <c r="V429" s="1"/>
      <c r="W429" s="1"/>
      <c r="X429" s="1"/>
      <c r="Y429" s="1"/>
      <c r="Z429" s="1"/>
      <c r="AA429" s="1"/>
    </row>
    <row r="430" ht="12.75" customHeight="1">
      <c r="A430" s="1"/>
      <c r="B430" s="140"/>
      <c r="C430" s="141"/>
      <c r="D430" s="142"/>
      <c r="E430" s="143"/>
      <c r="F430" s="144"/>
      <c r="G430" s="1"/>
      <c r="H430" s="131" t="str">
        <f t="shared" si="4"/>
        <v/>
      </c>
      <c r="I430" s="132" t="str">
        <f>IF(L430&gt;0,NbEch+Différé+1-H430,"")</f>
        <v/>
      </c>
      <c r="J430" s="145" t="str">
        <f t="shared" si="2"/>
        <v/>
      </c>
      <c r="K430" s="146" t="str">
        <f>IF(L430=0,"",IF(Ijour=0,MIN(DATE(YEAR(DebAmort),MONTH(DebAmort)+MoisD+(H430-1)*Imois,Jour2),DATE(YEAR(DebAmort),MONTH(DebAmort)+MoisD+1+(H430-1)*Imois,0)),DATE(YEAR(DebAmort),MONTH(DebAmort),Jour1+(H430-1)*Ijour)))</f>
        <v/>
      </c>
      <c r="L430" s="147">
        <f t="shared" si="5"/>
        <v>0</v>
      </c>
      <c r="M430" s="135">
        <f>IF(H430&lt;=NoEchMaxi,ROUND(L430*R430,NbDeci),0)</f>
        <v>0</v>
      </c>
      <c r="N430" s="134">
        <f>IF(OR(H430&lt;=Différé,H430&gt;NoEchMaxi),IF(DiffTotal,-M430,0),IF(H430&gt;=NoEchRemb,L430,IF(S430-(M430*EchFIXE)&gt;L430-2,L430,S430-(M430*EchFIXE))))+C430</f>
        <v>0</v>
      </c>
      <c r="O430" s="136">
        <f>IF(OR(L430=0,H430&gt;NoEchMaxi),0,ROUND(FraisF+FraisV*L430,NbDeci))+F430</f>
        <v>0</v>
      </c>
      <c r="P430" s="148">
        <f t="shared" si="3"/>
        <v>0</v>
      </c>
      <c r="Q430" s="1"/>
      <c r="R430" s="138">
        <f>IF(B430&gt;0,IF(TauxActuariel,((B430+1)^(1/NbEchAn))-1,B430/NbEchAn),R429)</f>
        <v>0.04</v>
      </c>
      <c r="S430" s="139">
        <f>IF(E430&gt;0,E430,IF(D430&gt;0,IF(AND(EchFIXE,R430&gt;0),ROUND((L430-C430)*R430/(1-((1+R430)^-D430)),NbDeci),ROUND(L430/D430,NbDeci)),S429))</f>
        <v>6664</v>
      </c>
      <c r="T430" s="1"/>
      <c r="U430" s="1"/>
      <c r="V430" s="1"/>
      <c r="W430" s="1"/>
      <c r="X430" s="1"/>
      <c r="Y430" s="1"/>
      <c r="Z430" s="1"/>
      <c r="AA430" s="1"/>
    </row>
    <row r="431" ht="12.75" customHeight="1">
      <c r="A431" s="1"/>
      <c r="B431" s="140"/>
      <c r="C431" s="141"/>
      <c r="D431" s="142"/>
      <c r="E431" s="143"/>
      <c r="F431" s="144"/>
      <c r="G431" s="1"/>
      <c r="H431" s="131" t="str">
        <f t="shared" si="4"/>
        <v/>
      </c>
      <c r="I431" s="132" t="str">
        <f>IF(L431&gt;0,NbEch+Différé+1-H431,"")</f>
        <v/>
      </c>
      <c r="J431" s="145" t="str">
        <f t="shared" si="2"/>
        <v/>
      </c>
      <c r="K431" s="146" t="str">
        <f>IF(L431=0,"",IF(Ijour=0,MIN(DATE(YEAR(DebAmort),MONTH(DebAmort)+(H431-1)*Imois,Jour1),DATE(YEAR(DebAmort),MONTH(DebAmort)+1+(H431-1)*Imois,0)),DATE(YEAR(DebAmort),MONTH(DebAmort),Jour1+(H431-1)*Ijour)))</f>
        <v/>
      </c>
      <c r="L431" s="147">
        <f t="shared" si="5"/>
        <v>0</v>
      </c>
      <c r="M431" s="135">
        <f>IF(H431&lt;=NoEchMaxi,ROUND(L431*R431,NbDeci),0)</f>
        <v>0</v>
      </c>
      <c r="N431" s="134">
        <f>IF(OR(H431&lt;=Différé,H431&gt;NoEchMaxi),IF(DiffTotal,-M431,0),IF(H431&gt;=NoEchRemb,L431,IF(S431-(M431*EchFIXE)&gt;L431-2,L431,S431-(M431*EchFIXE))))+C431</f>
        <v>0</v>
      </c>
      <c r="O431" s="136">
        <f>IF(OR(L431=0,H431&gt;NoEchMaxi),0,ROUND(FraisF+FraisV*L431,NbDeci))+F431</f>
        <v>0</v>
      </c>
      <c r="P431" s="148">
        <f t="shared" si="3"/>
        <v>0</v>
      </c>
      <c r="Q431" s="1"/>
      <c r="R431" s="138">
        <f>IF(B431&gt;0,IF(TauxActuariel,((B431+1)^(1/NbEchAn))-1,B431/NbEchAn),R430)</f>
        <v>0.04</v>
      </c>
      <c r="S431" s="139">
        <f>IF(E431&gt;0,E431,IF(D431&gt;0,IF(AND(EchFIXE,R431&gt;0),ROUND((L431-C431)*R431/(1-((1+R431)^-D431)),NbDeci),ROUND(L431/D431,NbDeci)),S430))</f>
        <v>6664</v>
      </c>
      <c r="T431" s="1"/>
      <c r="U431" s="1"/>
      <c r="V431" s="1"/>
      <c r="W431" s="1"/>
      <c r="X431" s="1"/>
      <c r="Y431" s="1"/>
      <c r="Z431" s="1"/>
      <c r="AA431" s="1"/>
    </row>
    <row r="432" ht="12.75" customHeight="1">
      <c r="A432" s="1"/>
      <c r="B432" s="140"/>
      <c r="C432" s="141"/>
      <c r="D432" s="142"/>
      <c r="E432" s="143"/>
      <c r="F432" s="144"/>
      <c r="G432" s="1"/>
      <c r="H432" s="131" t="str">
        <f t="shared" si="4"/>
        <v/>
      </c>
      <c r="I432" s="132" t="str">
        <f>IF(L432&gt;0,NbEch+Différé+1-H432,"")</f>
        <v/>
      </c>
      <c r="J432" s="145" t="str">
        <f t="shared" si="2"/>
        <v/>
      </c>
      <c r="K432" s="146" t="str">
        <f>IF(L432=0,"",IF(Ijour=0,MIN(DATE(YEAR(DebAmort),MONTH(DebAmort)+MoisD+(H432-1)*Imois,Jour2),DATE(YEAR(DebAmort),MONTH(DebAmort)+MoisD+1+(H432-1)*Imois,0)),DATE(YEAR(DebAmort),MONTH(DebAmort),Jour1+(H432-1)*Ijour)))</f>
        <v/>
      </c>
      <c r="L432" s="147">
        <f t="shared" si="5"/>
        <v>0</v>
      </c>
      <c r="M432" s="135">
        <f>IF(H432&lt;=NoEchMaxi,ROUND(L432*R432,NbDeci),0)</f>
        <v>0</v>
      </c>
      <c r="N432" s="134">
        <f>IF(OR(H432&lt;=Différé,H432&gt;NoEchMaxi),IF(DiffTotal,-M432,0),IF(H432&gt;=NoEchRemb,L432,IF(S432-(M432*EchFIXE)&gt;L432-2,L432,S432-(M432*EchFIXE))))+C432</f>
        <v>0</v>
      </c>
      <c r="O432" s="136">
        <f>IF(OR(L432=0,H432&gt;NoEchMaxi),0,ROUND(FraisF+FraisV*L432,NbDeci))+F432</f>
        <v>0</v>
      </c>
      <c r="P432" s="148">
        <f t="shared" si="3"/>
        <v>0</v>
      </c>
      <c r="Q432" s="1"/>
      <c r="R432" s="138">
        <f>IF(B432&gt;0,IF(TauxActuariel,((B432+1)^(1/NbEchAn))-1,B432/NbEchAn),R431)</f>
        <v>0.04</v>
      </c>
      <c r="S432" s="139">
        <f>IF(E432&gt;0,E432,IF(D432&gt;0,IF(AND(EchFIXE,R432&gt;0),ROUND((L432-C432)*R432/(1-((1+R432)^-D432)),NbDeci),ROUND(L432/D432,NbDeci)),S431))</f>
        <v>6664</v>
      </c>
      <c r="T432" s="1"/>
      <c r="U432" s="1"/>
      <c r="V432" s="1"/>
      <c r="W432" s="1"/>
      <c r="X432" s="1"/>
      <c r="Y432" s="1"/>
      <c r="Z432" s="1"/>
      <c r="AA432" s="1"/>
    </row>
    <row r="433" ht="12.75" customHeight="1">
      <c r="A433" s="1"/>
      <c r="B433" s="140"/>
      <c r="C433" s="141"/>
      <c r="D433" s="142"/>
      <c r="E433" s="143"/>
      <c r="F433" s="144"/>
      <c r="G433" s="1"/>
      <c r="H433" s="131" t="str">
        <f t="shared" si="4"/>
        <v/>
      </c>
      <c r="I433" s="132" t="str">
        <f>IF(L433&gt;0,NbEch+Différé+1-H433,"")</f>
        <v/>
      </c>
      <c r="J433" s="145" t="str">
        <f t="shared" si="2"/>
        <v/>
      </c>
      <c r="K433" s="146" t="str">
        <f>IF(L433=0,"",IF(Ijour=0,MIN(DATE(YEAR(DebAmort),MONTH(DebAmort)+(H433-1)*Imois,Jour1),DATE(YEAR(DebAmort),MONTH(DebAmort)+1+(H433-1)*Imois,0)),DATE(YEAR(DebAmort),MONTH(DebAmort),Jour1+(H433-1)*Ijour)))</f>
        <v/>
      </c>
      <c r="L433" s="147">
        <f t="shared" si="5"/>
        <v>0</v>
      </c>
      <c r="M433" s="135">
        <f>IF(H433&lt;=NoEchMaxi,ROUND(L433*R433,NbDeci),0)</f>
        <v>0</v>
      </c>
      <c r="N433" s="134">
        <f>IF(OR(H433&lt;=Différé,H433&gt;NoEchMaxi),IF(DiffTotal,-M433,0),IF(H433&gt;=NoEchRemb,L433,IF(S433-(M433*EchFIXE)&gt;L433-2,L433,S433-(M433*EchFIXE))))+C433</f>
        <v>0</v>
      </c>
      <c r="O433" s="136">
        <f>IF(OR(L433=0,H433&gt;NoEchMaxi),0,ROUND(FraisF+FraisV*L433,NbDeci))+F433</f>
        <v>0</v>
      </c>
      <c r="P433" s="148">
        <f t="shared" si="3"/>
        <v>0</v>
      </c>
      <c r="Q433" s="1"/>
      <c r="R433" s="138">
        <f>IF(B433&gt;0,IF(TauxActuariel,((B433+1)^(1/NbEchAn))-1,B433/NbEchAn),R432)</f>
        <v>0.04</v>
      </c>
      <c r="S433" s="139">
        <f>IF(E433&gt;0,E433,IF(D433&gt;0,IF(AND(EchFIXE,R433&gt;0),ROUND((L433-C433)*R433/(1-((1+R433)^-D433)),NbDeci),ROUND(L433/D433,NbDeci)),S432))</f>
        <v>6664</v>
      </c>
      <c r="T433" s="1"/>
      <c r="U433" s="1"/>
      <c r="V433" s="1"/>
      <c r="W433" s="1"/>
      <c r="X433" s="1"/>
      <c r="Y433" s="1"/>
      <c r="Z433" s="1"/>
      <c r="AA433" s="1"/>
    </row>
    <row r="434" ht="12.75" customHeight="1">
      <c r="A434" s="1"/>
      <c r="B434" s="140"/>
      <c r="C434" s="141"/>
      <c r="D434" s="142"/>
      <c r="E434" s="143"/>
      <c r="F434" s="144"/>
      <c r="G434" s="1"/>
      <c r="H434" s="131" t="str">
        <f t="shared" si="4"/>
        <v/>
      </c>
      <c r="I434" s="132" t="str">
        <f>IF(L434&gt;0,NbEch+Différé+1-H434,"")</f>
        <v/>
      </c>
      <c r="J434" s="145" t="str">
        <f t="shared" si="2"/>
        <v/>
      </c>
      <c r="K434" s="146" t="str">
        <f>IF(L434=0,"",IF(Ijour=0,MIN(DATE(YEAR(DebAmort),MONTH(DebAmort)+MoisD+(H434-1)*Imois,Jour2),DATE(YEAR(DebAmort),MONTH(DebAmort)+MoisD+1+(H434-1)*Imois,0)),DATE(YEAR(DebAmort),MONTH(DebAmort),Jour1+(H434-1)*Ijour)))</f>
        <v/>
      </c>
      <c r="L434" s="147">
        <f t="shared" si="5"/>
        <v>0</v>
      </c>
      <c r="M434" s="135">
        <f>IF(H434&lt;=NoEchMaxi,ROUND(L434*R434,NbDeci),0)</f>
        <v>0</v>
      </c>
      <c r="N434" s="134">
        <f>IF(OR(H434&lt;=Différé,H434&gt;NoEchMaxi),IF(DiffTotal,-M434,0),IF(H434&gt;=NoEchRemb,L434,IF(S434-(M434*EchFIXE)&gt;L434-2,L434,S434-(M434*EchFIXE))))+C434</f>
        <v>0</v>
      </c>
      <c r="O434" s="136">
        <f>IF(OR(L434=0,H434&gt;NoEchMaxi),0,ROUND(FraisF+FraisV*L434,NbDeci))+F434</f>
        <v>0</v>
      </c>
      <c r="P434" s="148">
        <f t="shared" si="3"/>
        <v>0</v>
      </c>
      <c r="Q434" s="1"/>
      <c r="R434" s="138">
        <f>IF(B434&gt;0,IF(TauxActuariel,((B434+1)^(1/NbEchAn))-1,B434/NbEchAn),R433)</f>
        <v>0.04</v>
      </c>
      <c r="S434" s="139">
        <f>IF(E434&gt;0,E434,IF(D434&gt;0,IF(AND(EchFIXE,R434&gt;0),ROUND((L434-C434)*R434/(1-((1+R434)^-D434)),NbDeci),ROUND(L434/D434,NbDeci)),S433))</f>
        <v>6664</v>
      </c>
      <c r="T434" s="1"/>
      <c r="U434" s="1"/>
      <c r="V434" s="1"/>
      <c r="W434" s="1"/>
      <c r="X434" s="1"/>
      <c r="Y434" s="1"/>
      <c r="Z434" s="1"/>
      <c r="AA434" s="1"/>
    </row>
    <row r="435" ht="12.75" customHeight="1">
      <c r="A435" s="1"/>
      <c r="B435" s="140"/>
      <c r="C435" s="141"/>
      <c r="D435" s="142"/>
      <c r="E435" s="143"/>
      <c r="F435" s="144"/>
      <c r="G435" s="1"/>
      <c r="H435" s="131" t="str">
        <f t="shared" si="4"/>
        <v/>
      </c>
      <c r="I435" s="132" t="str">
        <f>IF(L435&gt;0,NbEch+Différé+1-H435,"")</f>
        <v/>
      </c>
      <c r="J435" s="145" t="str">
        <f t="shared" si="2"/>
        <v/>
      </c>
      <c r="K435" s="146" t="str">
        <f>IF(L435=0,"",IF(Ijour=0,MIN(DATE(YEAR(DebAmort),MONTH(DebAmort)+(H435-1)*Imois,Jour1),DATE(YEAR(DebAmort),MONTH(DebAmort)+1+(H435-1)*Imois,0)),DATE(YEAR(DebAmort),MONTH(DebAmort),Jour1+(H435-1)*Ijour)))</f>
        <v/>
      </c>
      <c r="L435" s="147">
        <f t="shared" si="5"/>
        <v>0</v>
      </c>
      <c r="M435" s="135">
        <f>IF(H435&lt;=NoEchMaxi,ROUND(L435*R435,NbDeci),0)</f>
        <v>0</v>
      </c>
      <c r="N435" s="134">
        <f>IF(OR(H435&lt;=Différé,H435&gt;NoEchMaxi),IF(DiffTotal,-M435,0),IF(H435&gt;=NoEchRemb,L435,IF(S435-(M435*EchFIXE)&gt;L435-2,L435,S435-(M435*EchFIXE))))+C435</f>
        <v>0</v>
      </c>
      <c r="O435" s="136">
        <f>IF(OR(L435=0,H435&gt;NoEchMaxi),0,ROUND(FraisF+FraisV*L435,NbDeci))+F435</f>
        <v>0</v>
      </c>
      <c r="P435" s="148">
        <f t="shared" si="3"/>
        <v>0</v>
      </c>
      <c r="Q435" s="1"/>
      <c r="R435" s="138">
        <f>IF(B435&gt;0,IF(TauxActuariel,((B435+1)^(1/NbEchAn))-1,B435/NbEchAn),R434)</f>
        <v>0.04</v>
      </c>
      <c r="S435" s="139">
        <f>IF(E435&gt;0,E435,IF(D435&gt;0,IF(AND(EchFIXE,R435&gt;0),ROUND((L435-C435)*R435/(1-((1+R435)^-D435)),NbDeci),ROUND(L435/D435,NbDeci)),S434))</f>
        <v>6664</v>
      </c>
      <c r="T435" s="1"/>
      <c r="U435" s="1"/>
      <c r="V435" s="1"/>
      <c r="W435" s="1"/>
      <c r="X435" s="1"/>
      <c r="Y435" s="1"/>
      <c r="Z435" s="1"/>
      <c r="AA435" s="1"/>
    </row>
    <row r="436" ht="12.75" customHeight="1">
      <c r="A436" s="1"/>
      <c r="B436" s="140"/>
      <c r="C436" s="141"/>
      <c r="D436" s="142"/>
      <c r="E436" s="143"/>
      <c r="F436" s="144"/>
      <c r="G436" s="1"/>
      <c r="H436" s="131" t="str">
        <f t="shared" si="4"/>
        <v/>
      </c>
      <c r="I436" s="132" t="str">
        <f>IF(L436&gt;0,NbEch+Différé+1-H436,"")</f>
        <v/>
      </c>
      <c r="J436" s="145" t="str">
        <f t="shared" si="2"/>
        <v/>
      </c>
      <c r="K436" s="146" t="str">
        <f>IF(L436=0,"",IF(Ijour=0,MIN(DATE(YEAR(DebAmort),MONTH(DebAmort)+MoisD+(H436-1)*Imois,Jour2),DATE(YEAR(DebAmort),MONTH(DebAmort)+MoisD+1+(H436-1)*Imois,0)),DATE(YEAR(DebAmort),MONTH(DebAmort),Jour1+(H436-1)*Ijour)))</f>
        <v/>
      </c>
      <c r="L436" s="147">
        <f t="shared" si="5"/>
        <v>0</v>
      </c>
      <c r="M436" s="135">
        <f>IF(H436&lt;=NoEchMaxi,ROUND(L436*R436,NbDeci),0)</f>
        <v>0</v>
      </c>
      <c r="N436" s="134">
        <f>IF(OR(H436&lt;=Différé,H436&gt;NoEchMaxi),IF(DiffTotal,-M436,0),IF(H436&gt;=NoEchRemb,L436,IF(S436-(M436*EchFIXE)&gt;L436-2,L436,S436-(M436*EchFIXE))))+C436</f>
        <v>0</v>
      </c>
      <c r="O436" s="136">
        <f>IF(OR(L436=0,H436&gt;NoEchMaxi),0,ROUND(FraisF+FraisV*L436,NbDeci))+F436</f>
        <v>0</v>
      </c>
      <c r="P436" s="148">
        <f t="shared" si="3"/>
        <v>0</v>
      </c>
      <c r="Q436" s="1"/>
      <c r="R436" s="138">
        <f>IF(B436&gt;0,IF(TauxActuariel,((B436+1)^(1/NbEchAn))-1,B436/NbEchAn),R435)</f>
        <v>0.04</v>
      </c>
      <c r="S436" s="139">
        <f>IF(E436&gt;0,E436,IF(D436&gt;0,IF(AND(EchFIXE,R436&gt;0),ROUND((L436-C436)*R436/(1-((1+R436)^-D436)),NbDeci),ROUND(L436/D436,NbDeci)),S435))</f>
        <v>6664</v>
      </c>
      <c r="T436" s="1"/>
      <c r="U436" s="1"/>
      <c r="V436" s="1"/>
      <c r="W436" s="1"/>
      <c r="X436" s="1"/>
      <c r="Y436" s="1"/>
      <c r="Z436" s="1"/>
      <c r="AA436" s="1"/>
    </row>
    <row r="437" ht="12.75" customHeight="1">
      <c r="A437" s="1"/>
      <c r="B437" s="140"/>
      <c r="C437" s="141"/>
      <c r="D437" s="142"/>
      <c r="E437" s="143"/>
      <c r="F437" s="144"/>
      <c r="G437" s="1"/>
      <c r="H437" s="131" t="str">
        <f t="shared" si="4"/>
        <v/>
      </c>
      <c r="I437" s="132" t="str">
        <f>IF(L437&gt;0,NbEch+Différé+1-H437,"")</f>
        <v/>
      </c>
      <c r="J437" s="145" t="str">
        <f t="shared" si="2"/>
        <v/>
      </c>
      <c r="K437" s="146" t="str">
        <f>IF(L437=0,"",IF(Ijour=0,MIN(DATE(YEAR(DebAmort),MONTH(DebAmort)+(H437-1)*Imois,Jour1),DATE(YEAR(DebAmort),MONTH(DebAmort)+1+(H437-1)*Imois,0)),DATE(YEAR(DebAmort),MONTH(DebAmort),Jour1+(H437-1)*Ijour)))</f>
        <v/>
      </c>
      <c r="L437" s="147">
        <f t="shared" si="5"/>
        <v>0</v>
      </c>
      <c r="M437" s="135">
        <f>IF(H437&lt;=NoEchMaxi,ROUND(L437*R437,NbDeci),0)</f>
        <v>0</v>
      </c>
      <c r="N437" s="134">
        <f>IF(OR(H437&lt;=Différé,H437&gt;NoEchMaxi),IF(DiffTotal,-M437,0),IF(H437&gt;=NoEchRemb,L437,IF(S437-(M437*EchFIXE)&gt;L437-2,L437,S437-(M437*EchFIXE))))+C437</f>
        <v>0</v>
      </c>
      <c r="O437" s="136">
        <f>IF(OR(L437=0,H437&gt;NoEchMaxi),0,ROUND(FraisF+FraisV*L437,NbDeci))+F437</f>
        <v>0</v>
      </c>
      <c r="P437" s="148">
        <f t="shared" si="3"/>
        <v>0</v>
      </c>
      <c r="Q437" s="1"/>
      <c r="R437" s="138">
        <f>IF(B437&gt;0,IF(TauxActuariel,((B437+1)^(1/NbEchAn))-1,B437/NbEchAn),R436)</f>
        <v>0.04</v>
      </c>
      <c r="S437" s="139">
        <f>IF(E437&gt;0,E437,IF(D437&gt;0,IF(AND(EchFIXE,R437&gt;0),ROUND((L437-C437)*R437/(1-((1+R437)^-D437)),NbDeci),ROUND(L437/D437,NbDeci)),S436))</f>
        <v>6664</v>
      </c>
      <c r="T437" s="1"/>
      <c r="U437" s="1"/>
      <c r="V437" s="1"/>
      <c r="W437" s="1"/>
      <c r="X437" s="1"/>
      <c r="Y437" s="1"/>
      <c r="Z437" s="1"/>
      <c r="AA437" s="1"/>
    </row>
    <row r="438" ht="12.75" customHeight="1">
      <c r="A438" s="1"/>
      <c r="B438" s="140"/>
      <c r="C438" s="141"/>
      <c r="D438" s="142"/>
      <c r="E438" s="143"/>
      <c r="F438" s="144"/>
      <c r="G438" s="1"/>
      <c r="H438" s="131" t="str">
        <f t="shared" si="4"/>
        <v/>
      </c>
      <c r="I438" s="132" t="str">
        <f>IF(L438&gt;0,NbEch+Différé+1-H438,"")</f>
        <v/>
      </c>
      <c r="J438" s="145" t="str">
        <f t="shared" si="2"/>
        <v/>
      </c>
      <c r="K438" s="146" t="str">
        <f>IF(L438=0,"",IF(Ijour=0,MIN(DATE(YEAR(DebAmort),MONTH(DebAmort)+MoisD+(H438-1)*Imois,Jour2),DATE(YEAR(DebAmort),MONTH(DebAmort)+MoisD+1+(H438-1)*Imois,0)),DATE(YEAR(DebAmort),MONTH(DebAmort),Jour1+(H438-1)*Ijour)))</f>
        <v/>
      </c>
      <c r="L438" s="147">
        <f t="shared" si="5"/>
        <v>0</v>
      </c>
      <c r="M438" s="135">
        <f>IF(H438&lt;=NoEchMaxi,ROUND(L438*R438,NbDeci),0)</f>
        <v>0</v>
      </c>
      <c r="N438" s="134">
        <f>IF(OR(H438&lt;=Différé,H438&gt;NoEchMaxi),IF(DiffTotal,-M438,0),IF(H438&gt;=NoEchRemb,L438,IF(S438-(M438*EchFIXE)&gt;L438-2,L438,S438-(M438*EchFIXE))))+C438</f>
        <v>0</v>
      </c>
      <c r="O438" s="136">
        <f>IF(OR(L438=0,H438&gt;NoEchMaxi),0,ROUND(FraisF+FraisV*L438,NbDeci))+F438</f>
        <v>0</v>
      </c>
      <c r="P438" s="148">
        <f t="shared" si="3"/>
        <v>0</v>
      </c>
      <c r="Q438" s="1"/>
      <c r="R438" s="138">
        <f>IF(B438&gt;0,IF(TauxActuariel,((B438+1)^(1/NbEchAn))-1,B438/NbEchAn),R437)</f>
        <v>0.04</v>
      </c>
      <c r="S438" s="139">
        <f>IF(E438&gt;0,E438,IF(D438&gt;0,IF(AND(EchFIXE,R438&gt;0),ROUND((L438-C438)*R438/(1-((1+R438)^-D438)),NbDeci),ROUND(L438/D438,NbDeci)),S437))</f>
        <v>6664</v>
      </c>
      <c r="T438" s="1"/>
      <c r="U438" s="1"/>
      <c r="V438" s="1"/>
      <c r="W438" s="1"/>
      <c r="X438" s="1"/>
      <c r="Y438" s="1"/>
      <c r="Z438" s="1"/>
      <c r="AA438" s="1"/>
    </row>
    <row r="439" ht="12.75" customHeight="1">
      <c r="A439" s="1"/>
      <c r="B439" s="140"/>
      <c r="C439" s="141"/>
      <c r="D439" s="142"/>
      <c r="E439" s="143"/>
      <c r="F439" s="144"/>
      <c r="G439" s="1"/>
      <c r="H439" s="131" t="str">
        <f t="shared" si="4"/>
        <v/>
      </c>
      <c r="I439" s="132" t="str">
        <f>IF(L439&gt;0,NbEch+Différé+1-H439,"")</f>
        <v/>
      </c>
      <c r="J439" s="145" t="str">
        <f t="shared" si="2"/>
        <v/>
      </c>
      <c r="K439" s="146" t="str">
        <f>IF(L439=0,"",IF(Ijour=0,MIN(DATE(YEAR(DebAmort),MONTH(DebAmort)+(H439-1)*Imois,Jour1),DATE(YEAR(DebAmort),MONTH(DebAmort)+1+(H439-1)*Imois,0)),DATE(YEAR(DebAmort),MONTH(DebAmort),Jour1+(H439-1)*Ijour)))</f>
        <v/>
      </c>
      <c r="L439" s="147">
        <f t="shared" si="5"/>
        <v>0</v>
      </c>
      <c r="M439" s="135">
        <f>IF(H439&lt;=NoEchMaxi,ROUND(L439*R439,NbDeci),0)</f>
        <v>0</v>
      </c>
      <c r="N439" s="134">
        <f>IF(OR(H439&lt;=Différé,H439&gt;NoEchMaxi),IF(DiffTotal,-M439,0),IF(H439&gt;=NoEchRemb,L439,IF(S439-(M439*EchFIXE)&gt;L439-2,L439,S439-(M439*EchFIXE))))+C439</f>
        <v>0</v>
      </c>
      <c r="O439" s="136">
        <f>IF(OR(L439=0,H439&gt;NoEchMaxi),0,ROUND(FraisF+FraisV*L439,NbDeci))+F439</f>
        <v>0</v>
      </c>
      <c r="P439" s="148">
        <f t="shared" si="3"/>
        <v>0</v>
      </c>
      <c r="Q439" s="1"/>
      <c r="R439" s="138">
        <f>IF(B439&gt;0,IF(TauxActuariel,((B439+1)^(1/NbEchAn))-1,B439/NbEchAn),R438)</f>
        <v>0.04</v>
      </c>
      <c r="S439" s="139">
        <f>IF(E439&gt;0,E439,IF(D439&gt;0,IF(AND(EchFIXE,R439&gt;0),ROUND((L439-C439)*R439/(1-((1+R439)^-D439)),NbDeci),ROUND(L439/D439,NbDeci)),S438))</f>
        <v>6664</v>
      </c>
      <c r="T439" s="1"/>
      <c r="U439" s="1"/>
      <c r="V439" s="1"/>
      <c r="W439" s="1"/>
      <c r="X439" s="1"/>
      <c r="Y439" s="1"/>
      <c r="Z439" s="1"/>
      <c r="AA439" s="1"/>
    </row>
    <row r="440" ht="12.75" customHeight="1">
      <c r="A440" s="1"/>
      <c r="B440" s="140"/>
      <c r="C440" s="141"/>
      <c r="D440" s="142"/>
      <c r="E440" s="143"/>
      <c r="F440" s="144"/>
      <c r="G440" s="1"/>
      <c r="H440" s="131" t="str">
        <f t="shared" si="4"/>
        <v/>
      </c>
      <c r="I440" s="132" t="str">
        <f>IF(L440&gt;0,NbEch+Différé+1-H440,"")</f>
        <v/>
      </c>
      <c r="J440" s="145" t="str">
        <f t="shared" si="2"/>
        <v/>
      </c>
      <c r="K440" s="146" t="str">
        <f>IF(L440=0,"",IF(Ijour=0,MIN(DATE(YEAR(DebAmort),MONTH(DebAmort)+MoisD+(H440-1)*Imois,Jour2),DATE(YEAR(DebAmort),MONTH(DebAmort)+MoisD+1+(H440-1)*Imois,0)),DATE(YEAR(DebAmort),MONTH(DebAmort),Jour1+(H440-1)*Ijour)))</f>
        <v/>
      </c>
      <c r="L440" s="147">
        <f t="shared" si="5"/>
        <v>0</v>
      </c>
      <c r="M440" s="135">
        <f>IF(H440&lt;=NoEchMaxi,ROUND(L440*R440,NbDeci),0)</f>
        <v>0</v>
      </c>
      <c r="N440" s="134">
        <f>IF(OR(H440&lt;=Différé,H440&gt;NoEchMaxi),IF(DiffTotal,-M440,0),IF(H440&gt;=NoEchRemb,L440,IF(S440-(M440*EchFIXE)&gt;L440-2,L440,S440-(M440*EchFIXE))))+C440</f>
        <v>0</v>
      </c>
      <c r="O440" s="136">
        <f>IF(OR(L440=0,H440&gt;NoEchMaxi),0,ROUND(FraisF+FraisV*L440,NbDeci))+F440</f>
        <v>0</v>
      </c>
      <c r="P440" s="148">
        <f t="shared" si="3"/>
        <v>0</v>
      </c>
      <c r="Q440" s="1"/>
      <c r="R440" s="138">
        <f>IF(B440&gt;0,IF(TauxActuariel,((B440+1)^(1/NbEchAn))-1,B440/NbEchAn),R439)</f>
        <v>0.04</v>
      </c>
      <c r="S440" s="139">
        <f>IF(E440&gt;0,E440,IF(D440&gt;0,IF(AND(EchFIXE,R440&gt;0),ROUND((L440-C440)*R440/(1-((1+R440)^-D440)),NbDeci),ROUND(L440/D440,NbDeci)),S439))</f>
        <v>6664</v>
      </c>
      <c r="T440" s="1"/>
      <c r="U440" s="1"/>
      <c r="V440" s="1"/>
      <c r="W440" s="1"/>
      <c r="X440" s="1"/>
      <c r="Y440" s="1"/>
      <c r="Z440" s="1"/>
      <c r="AA440" s="1"/>
    </row>
    <row r="441" ht="12.75" customHeight="1">
      <c r="A441" s="1"/>
      <c r="B441" s="140"/>
      <c r="C441" s="141"/>
      <c r="D441" s="142"/>
      <c r="E441" s="143"/>
      <c r="F441" s="144"/>
      <c r="G441" s="1"/>
      <c r="H441" s="131" t="str">
        <f t="shared" si="4"/>
        <v/>
      </c>
      <c r="I441" s="132" t="str">
        <f>IF(L441&gt;0,NbEch+Différé+1-H441,"")</f>
        <v/>
      </c>
      <c r="J441" s="145" t="str">
        <f t="shared" si="2"/>
        <v/>
      </c>
      <c r="K441" s="146" t="str">
        <f>IF(L441=0,"",IF(Ijour=0,MIN(DATE(YEAR(DebAmort),MONTH(DebAmort)+(H441-1)*Imois,Jour1),DATE(YEAR(DebAmort),MONTH(DebAmort)+1+(H441-1)*Imois,0)),DATE(YEAR(DebAmort),MONTH(DebAmort),Jour1+(H441-1)*Ijour)))</f>
        <v/>
      </c>
      <c r="L441" s="147">
        <f t="shared" si="5"/>
        <v>0</v>
      </c>
      <c r="M441" s="135">
        <f>IF(H441&lt;=NoEchMaxi,ROUND(L441*R441,NbDeci),0)</f>
        <v>0</v>
      </c>
      <c r="N441" s="134">
        <f>IF(OR(H441&lt;=Différé,H441&gt;NoEchMaxi),IF(DiffTotal,-M441,0),IF(H441&gt;=NoEchRemb,L441,IF(S441-(M441*EchFIXE)&gt;L441-2,L441,S441-(M441*EchFIXE))))+C441</f>
        <v>0</v>
      </c>
      <c r="O441" s="136">
        <f>IF(OR(L441=0,H441&gt;NoEchMaxi),0,ROUND(FraisF+FraisV*L441,NbDeci))+F441</f>
        <v>0</v>
      </c>
      <c r="P441" s="148">
        <f t="shared" si="3"/>
        <v>0</v>
      </c>
      <c r="Q441" s="1"/>
      <c r="R441" s="138">
        <f>IF(B441&gt;0,IF(TauxActuariel,((B441+1)^(1/NbEchAn))-1,B441/NbEchAn),R440)</f>
        <v>0.04</v>
      </c>
      <c r="S441" s="139">
        <f>IF(E441&gt;0,E441,IF(D441&gt;0,IF(AND(EchFIXE,R441&gt;0),ROUND((L441-C441)*R441/(1-((1+R441)^-D441)),NbDeci),ROUND(L441/D441,NbDeci)),S440))</f>
        <v>6664</v>
      </c>
      <c r="T441" s="1"/>
      <c r="U441" s="1"/>
      <c r="V441" s="1"/>
      <c r="W441" s="1"/>
      <c r="X441" s="1"/>
      <c r="Y441" s="1"/>
      <c r="Z441" s="1"/>
      <c r="AA441" s="1"/>
    </row>
    <row r="442" ht="12.75" customHeight="1">
      <c r="A442" s="1"/>
      <c r="B442" s="140"/>
      <c r="C442" s="141"/>
      <c r="D442" s="142"/>
      <c r="E442" s="143"/>
      <c r="F442" s="144"/>
      <c r="G442" s="1"/>
      <c r="H442" s="131" t="str">
        <f t="shared" si="4"/>
        <v/>
      </c>
      <c r="I442" s="132" t="str">
        <f>IF(L442&gt;0,NbEch+Différé+1-H442,"")</f>
        <v/>
      </c>
      <c r="J442" s="145" t="str">
        <f t="shared" si="2"/>
        <v/>
      </c>
      <c r="K442" s="146" t="str">
        <f>IF(L442=0,"",IF(Ijour=0,MIN(DATE(YEAR(DebAmort),MONTH(DebAmort)+MoisD+(H442-1)*Imois,Jour2),DATE(YEAR(DebAmort),MONTH(DebAmort)+MoisD+1+(H442-1)*Imois,0)),DATE(YEAR(DebAmort),MONTH(DebAmort),Jour1+(H442-1)*Ijour)))</f>
        <v/>
      </c>
      <c r="L442" s="147">
        <f t="shared" si="5"/>
        <v>0</v>
      </c>
      <c r="M442" s="135">
        <f>IF(H442&lt;=NoEchMaxi,ROUND(L442*R442,NbDeci),0)</f>
        <v>0</v>
      </c>
      <c r="N442" s="134">
        <f>IF(OR(H442&lt;=Différé,H442&gt;NoEchMaxi),IF(DiffTotal,-M442,0),IF(H442&gt;=NoEchRemb,L442,IF(S442-(M442*EchFIXE)&gt;L442-2,L442,S442-(M442*EchFIXE))))+C442</f>
        <v>0</v>
      </c>
      <c r="O442" s="136">
        <f>IF(OR(L442=0,H442&gt;NoEchMaxi),0,ROUND(FraisF+FraisV*L442,NbDeci))+F442</f>
        <v>0</v>
      </c>
      <c r="P442" s="148">
        <f t="shared" si="3"/>
        <v>0</v>
      </c>
      <c r="Q442" s="1"/>
      <c r="R442" s="138">
        <f>IF(B442&gt;0,IF(TauxActuariel,((B442+1)^(1/NbEchAn))-1,B442/NbEchAn),R441)</f>
        <v>0.04</v>
      </c>
      <c r="S442" s="139">
        <f>IF(E442&gt;0,E442,IF(D442&gt;0,IF(AND(EchFIXE,R442&gt;0),ROUND((L442-C442)*R442/(1-((1+R442)^-D442)),NbDeci),ROUND(L442/D442,NbDeci)),S441))</f>
        <v>6664</v>
      </c>
      <c r="T442" s="1"/>
      <c r="U442" s="1"/>
      <c r="V442" s="1"/>
      <c r="W442" s="1"/>
      <c r="X442" s="1"/>
      <c r="Y442" s="1"/>
      <c r="Z442" s="1"/>
      <c r="AA442" s="1"/>
    </row>
    <row r="443" ht="12.75" customHeight="1">
      <c r="A443" s="1"/>
      <c r="B443" s="140"/>
      <c r="C443" s="141"/>
      <c r="D443" s="142"/>
      <c r="E443" s="143"/>
      <c r="F443" s="144"/>
      <c r="G443" s="1"/>
      <c r="H443" s="131" t="str">
        <f t="shared" si="4"/>
        <v/>
      </c>
      <c r="I443" s="132" t="str">
        <f>IF(L443&gt;0,NbEch+Différé+1-H443,"")</f>
        <v/>
      </c>
      <c r="J443" s="145" t="str">
        <f t="shared" si="2"/>
        <v/>
      </c>
      <c r="K443" s="146" t="str">
        <f>IF(L443=0,"",IF(Ijour=0,MIN(DATE(YEAR(DebAmort),MONTH(DebAmort)+(H443-1)*Imois,Jour1),DATE(YEAR(DebAmort),MONTH(DebAmort)+1+(H443-1)*Imois,0)),DATE(YEAR(DebAmort),MONTH(DebAmort),Jour1+(H443-1)*Ijour)))</f>
        <v/>
      </c>
      <c r="L443" s="147">
        <f t="shared" si="5"/>
        <v>0</v>
      </c>
      <c r="M443" s="135">
        <f>IF(H443&lt;=NoEchMaxi,ROUND(L443*R443,NbDeci),0)</f>
        <v>0</v>
      </c>
      <c r="N443" s="134">
        <f>IF(OR(H443&lt;=Différé,H443&gt;NoEchMaxi),IF(DiffTotal,-M443,0),IF(H443&gt;=NoEchRemb,L443,IF(S443-(M443*EchFIXE)&gt;L443-2,L443,S443-(M443*EchFIXE))))+C443</f>
        <v>0</v>
      </c>
      <c r="O443" s="136">
        <f>IF(OR(L443=0,H443&gt;NoEchMaxi),0,ROUND(FraisF+FraisV*L443,NbDeci))+F443</f>
        <v>0</v>
      </c>
      <c r="P443" s="148">
        <f t="shared" si="3"/>
        <v>0</v>
      </c>
      <c r="Q443" s="1"/>
      <c r="R443" s="138">
        <f>IF(B443&gt;0,IF(TauxActuariel,((B443+1)^(1/NbEchAn))-1,B443/NbEchAn),R442)</f>
        <v>0.04</v>
      </c>
      <c r="S443" s="139">
        <f>IF(E443&gt;0,E443,IF(D443&gt;0,IF(AND(EchFIXE,R443&gt;0),ROUND((L443-C443)*R443/(1-((1+R443)^-D443)),NbDeci),ROUND(L443/D443,NbDeci)),S442))</f>
        <v>6664</v>
      </c>
      <c r="T443" s="1"/>
      <c r="U443" s="1"/>
      <c r="V443" s="1"/>
      <c r="W443" s="1"/>
      <c r="X443" s="1"/>
      <c r="Y443" s="1"/>
      <c r="Z443" s="1"/>
      <c r="AA443" s="1"/>
    </row>
    <row r="444" ht="12.75" customHeight="1">
      <c r="A444" s="1"/>
      <c r="B444" s="140"/>
      <c r="C444" s="141"/>
      <c r="D444" s="142"/>
      <c r="E444" s="143"/>
      <c r="F444" s="144"/>
      <c r="G444" s="1"/>
      <c r="H444" s="131" t="str">
        <f t="shared" si="4"/>
        <v/>
      </c>
      <c r="I444" s="132" t="str">
        <f>IF(L444&gt;0,NbEch+Différé+1-H444,"")</f>
        <v/>
      </c>
      <c r="J444" s="145" t="str">
        <f t="shared" si="2"/>
        <v/>
      </c>
      <c r="K444" s="146" t="str">
        <f>IF(L444=0,"",IF(Ijour=0,MIN(DATE(YEAR(DebAmort),MONTH(DebAmort)+MoisD+(H444-1)*Imois,Jour2),DATE(YEAR(DebAmort),MONTH(DebAmort)+MoisD+1+(H444-1)*Imois,0)),DATE(YEAR(DebAmort),MONTH(DebAmort),Jour1+(H444-1)*Ijour)))</f>
        <v/>
      </c>
      <c r="L444" s="147">
        <f t="shared" si="5"/>
        <v>0</v>
      </c>
      <c r="M444" s="135">
        <f>IF(H444&lt;=NoEchMaxi,ROUND(L444*R444,NbDeci),0)</f>
        <v>0</v>
      </c>
      <c r="N444" s="134">
        <f>IF(OR(H444&lt;=Différé,H444&gt;NoEchMaxi),IF(DiffTotal,-M444,0),IF(H444&gt;=NoEchRemb,L444,IF(S444-(M444*EchFIXE)&gt;L444-2,L444,S444-(M444*EchFIXE))))+C444</f>
        <v>0</v>
      </c>
      <c r="O444" s="136">
        <f>IF(OR(L444=0,H444&gt;NoEchMaxi),0,ROUND(FraisF+FraisV*L444,NbDeci))+F444</f>
        <v>0</v>
      </c>
      <c r="P444" s="148">
        <f t="shared" si="3"/>
        <v>0</v>
      </c>
      <c r="Q444" s="1"/>
      <c r="R444" s="138">
        <f>IF(B444&gt;0,IF(TauxActuariel,((B444+1)^(1/NbEchAn))-1,B444/NbEchAn),R443)</f>
        <v>0.04</v>
      </c>
      <c r="S444" s="139">
        <f>IF(E444&gt;0,E444,IF(D444&gt;0,IF(AND(EchFIXE,R444&gt;0),ROUND((L444-C444)*R444/(1-((1+R444)^-D444)),NbDeci),ROUND(L444/D444,NbDeci)),S443))</f>
        <v>6664</v>
      </c>
      <c r="T444" s="1"/>
      <c r="U444" s="1"/>
      <c r="V444" s="1"/>
      <c r="W444" s="1"/>
      <c r="X444" s="1"/>
      <c r="Y444" s="1"/>
      <c r="Z444" s="1"/>
      <c r="AA444" s="1"/>
    </row>
    <row r="445" ht="12.75" customHeight="1">
      <c r="A445" s="1"/>
      <c r="B445" s="140"/>
      <c r="C445" s="141"/>
      <c r="D445" s="142"/>
      <c r="E445" s="143"/>
      <c r="F445" s="144"/>
      <c r="G445" s="1"/>
      <c r="H445" s="131" t="str">
        <f t="shared" si="4"/>
        <v/>
      </c>
      <c r="I445" s="132" t="str">
        <f>IF(L445&gt;0,NbEch+Différé+1-H445,"")</f>
        <v/>
      </c>
      <c r="J445" s="145" t="str">
        <f t="shared" si="2"/>
        <v/>
      </c>
      <c r="K445" s="146" t="str">
        <f>IF(L445=0,"",IF(Ijour=0,MIN(DATE(YEAR(DebAmort),MONTH(DebAmort)+(H445-1)*Imois,Jour1),DATE(YEAR(DebAmort),MONTH(DebAmort)+1+(H445-1)*Imois,0)),DATE(YEAR(DebAmort),MONTH(DebAmort),Jour1+(H445-1)*Ijour)))</f>
        <v/>
      </c>
      <c r="L445" s="147">
        <f t="shared" si="5"/>
        <v>0</v>
      </c>
      <c r="M445" s="135">
        <f>IF(H445&lt;=NoEchMaxi,ROUND(L445*R445,NbDeci),0)</f>
        <v>0</v>
      </c>
      <c r="N445" s="134">
        <f>IF(OR(H445&lt;=Différé,H445&gt;NoEchMaxi),IF(DiffTotal,-M445,0),IF(H445&gt;=NoEchRemb,L445,IF(S445-(M445*EchFIXE)&gt;L445-2,L445,S445-(M445*EchFIXE))))+C445</f>
        <v>0</v>
      </c>
      <c r="O445" s="136">
        <f>IF(OR(L445=0,H445&gt;NoEchMaxi),0,ROUND(FraisF+FraisV*L445,NbDeci))+F445</f>
        <v>0</v>
      </c>
      <c r="P445" s="148">
        <f t="shared" si="3"/>
        <v>0</v>
      </c>
      <c r="Q445" s="1"/>
      <c r="R445" s="138">
        <f>IF(B445&gt;0,IF(TauxActuariel,((B445+1)^(1/NbEchAn))-1,B445/NbEchAn),R444)</f>
        <v>0.04</v>
      </c>
      <c r="S445" s="139">
        <f>IF(E445&gt;0,E445,IF(D445&gt;0,IF(AND(EchFIXE,R445&gt;0),ROUND((L445-C445)*R445/(1-((1+R445)^-D445)),NbDeci),ROUND(L445/D445,NbDeci)),S444))</f>
        <v>6664</v>
      </c>
      <c r="T445" s="1"/>
      <c r="U445" s="1"/>
      <c r="V445" s="1"/>
      <c r="W445" s="1"/>
      <c r="X445" s="1"/>
      <c r="Y445" s="1"/>
      <c r="Z445" s="1"/>
      <c r="AA445" s="1"/>
    </row>
    <row r="446" ht="12.75" customHeight="1">
      <c r="A446" s="1"/>
      <c r="B446" s="140"/>
      <c r="C446" s="141"/>
      <c r="D446" s="142"/>
      <c r="E446" s="143"/>
      <c r="F446" s="144"/>
      <c r="G446" s="1"/>
      <c r="H446" s="131" t="str">
        <f t="shared" si="4"/>
        <v/>
      </c>
      <c r="I446" s="132" t="str">
        <f>IF(L446&gt;0,NbEch+Différé+1-H446,"")</f>
        <v/>
      </c>
      <c r="J446" s="145" t="str">
        <f t="shared" si="2"/>
        <v/>
      </c>
      <c r="K446" s="146" t="str">
        <f>IF(L446=0,"",IF(Ijour=0,MIN(DATE(YEAR(DebAmort),MONTH(DebAmort)+MoisD+(H446-1)*Imois,Jour2),DATE(YEAR(DebAmort),MONTH(DebAmort)+MoisD+1+(H446-1)*Imois,0)),DATE(YEAR(DebAmort),MONTH(DebAmort),Jour1+(H446-1)*Ijour)))</f>
        <v/>
      </c>
      <c r="L446" s="147">
        <f t="shared" si="5"/>
        <v>0</v>
      </c>
      <c r="M446" s="135">
        <f>IF(H446&lt;=NoEchMaxi,ROUND(L446*R446,NbDeci),0)</f>
        <v>0</v>
      </c>
      <c r="N446" s="134">
        <f>IF(OR(H446&lt;=Différé,H446&gt;NoEchMaxi),IF(DiffTotal,-M446,0),IF(H446&gt;=NoEchRemb,L446,IF(S446-(M446*EchFIXE)&gt;L446-2,L446,S446-(M446*EchFIXE))))+C446</f>
        <v>0</v>
      </c>
      <c r="O446" s="136">
        <f>IF(OR(L446=0,H446&gt;NoEchMaxi),0,ROUND(FraisF+FraisV*L446,NbDeci))+F446</f>
        <v>0</v>
      </c>
      <c r="P446" s="148">
        <f t="shared" si="3"/>
        <v>0</v>
      </c>
      <c r="Q446" s="1"/>
      <c r="R446" s="138">
        <f>IF(B446&gt;0,IF(TauxActuariel,((B446+1)^(1/NbEchAn))-1,B446/NbEchAn),R445)</f>
        <v>0.04</v>
      </c>
      <c r="S446" s="139">
        <f>IF(E446&gt;0,E446,IF(D446&gt;0,IF(AND(EchFIXE,R446&gt;0),ROUND((L446-C446)*R446/(1-((1+R446)^-D446)),NbDeci),ROUND(L446/D446,NbDeci)),S445))</f>
        <v>6664</v>
      </c>
      <c r="T446" s="1"/>
      <c r="U446" s="1"/>
      <c r="V446" s="1"/>
      <c r="W446" s="1"/>
      <c r="X446" s="1"/>
      <c r="Y446" s="1"/>
      <c r="Z446" s="1"/>
      <c r="AA446" s="1"/>
    </row>
    <row r="447" ht="13.5" customHeight="1">
      <c r="A447" s="1"/>
      <c r="B447" s="150"/>
      <c r="C447" s="151"/>
      <c r="D447" s="152"/>
      <c r="E447" s="153"/>
      <c r="F447" s="154"/>
      <c r="G447" s="1"/>
      <c r="H447" s="155" t="str">
        <f t="shared" si="4"/>
        <v/>
      </c>
      <c r="I447" s="156" t="str">
        <f>IF(L447&gt;0,NbEch+Différé+1-H447,"")</f>
        <v/>
      </c>
      <c r="J447" s="156" t="str">
        <f t="shared" si="2"/>
        <v/>
      </c>
      <c r="K447" s="157" t="str">
        <f>IF(L447=0,"",IF(Ijour=0,MIN(DATE(YEAR(DebAmort),MONTH(DebAmort)+(H447-1)*Imois,Jour1),DATE(YEAR(DebAmort),MONTH(DebAmort)+1+(H447-1)*Imois,0)),DATE(YEAR(DebAmort),MONTH(DebAmort),Jour1+(H447-1)*Ijour)))</f>
        <v/>
      </c>
      <c r="L447" s="158">
        <f t="shared" si="5"/>
        <v>0</v>
      </c>
      <c r="M447" s="159">
        <f>IF(H447&lt;=NoEchMaxi,ROUND(L447*R447,NbDeci),0)</f>
        <v>0</v>
      </c>
      <c r="N447" s="158">
        <f>IF(OR(H447&lt;=Différé,H447&gt;NoEchMaxi),IF(DiffTotal,-M447,0),IF(H447&gt;=NoEchRemb,L447,IF(S447-(M447*EchFIXE)&gt;L447-2,L447,S447-(M447*EchFIXE))))+C447</f>
        <v>0</v>
      </c>
      <c r="O447" s="160">
        <f>IF(OR(L447=0,H447&gt;NoEchMaxi),0,ROUND(FraisF+FraisV*L447,NbDeci))+F447</f>
        <v>0</v>
      </c>
      <c r="P447" s="161">
        <f t="shared" si="3"/>
        <v>0</v>
      </c>
      <c r="Q447" s="1"/>
      <c r="R447" s="138">
        <f>IF(B447&gt;0,IF(TauxActuariel,((B447+1)^(1/NbEchAn))-1,B447/NbEchAn),R446)</f>
        <v>0.04</v>
      </c>
      <c r="S447" s="139">
        <f>IF(E447&gt;0,E447,IF(D447&gt;0,IF(AND(EchFIXE,R447&gt;0),ROUND((L447-C447)*R447/(1-((1+R447)^-D447)),NbDeci),ROUND(L447/D447,NbDeci)),S446))</f>
        <v>6664</v>
      </c>
      <c r="T447" s="1"/>
      <c r="U447" s="1"/>
      <c r="V447" s="1"/>
      <c r="W447" s="1"/>
      <c r="X447" s="1"/>
      <c r="Y447" s="1"/>
      <c r="Z447" s="1"/>
      <c r="AA447" s="1"/>
    </row>
    <row r="448" ht="12.75" customHeight="1">
      <c r="A448" s="1"/>
      <c r="B448" s="2"/>
      <c r="C448" s="3"/>
      <c r="D448" s="1"/>
      <c r="E448" s="3"/>
      <c r="F448" s="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9"/>
      <c r="S448" s="48"/>
      <c r="T448" s="1"/>
      <c r="U448" s="1"/>
      <c r="V448" s="1"/>
      <c r="W448" s="1"/>
      <c r="X448" s="1"/>
      <c r="Y448" s="1"/>
      <c r="Z448" s="1"/>
      <c r="AA448" s="1"/>
    </row>
    <row r="449" ht="12.75" customHeight="1">
      <c r="A449" s="1"/>
      <c r="B449" s="2"/>
      <c r="C449" s="3"/>
      <c r="D449" s="1"/>
      <c r="E449" s="3"/>
      <c r="F449" s="3"/>
      <c r="G449" s="1"/>
      <c r="H449" s="1"/>
      <c r="I449" s="1"/>
      <c r="J449" s="1"/>
      <c r="K449" s="162" t="s">
        <v>60</v>
      </c>
      <c r="L449" s="162"/>
      <c r="M449" s="163">
        <f t="shared" ref="M449:P449" si="7">SUBTOTAL(9,M14:M447)</f>
        <v>6651</v>
      </c>
      <c r="N449" s="163">
        <f t="shared" si="7"/>
        <v>0</v>
      </c>
      <c r="O449" s="163">
        <f t="shared" si="7"/>
        <v>0</v>
      </c>
      <c r="P449" s="163">
        <f t="shared" si="7"/>
        <v>6651</v>
      </c>
      <c r="Q449" s="1"/>
      <c r="R449" s="9"/>
      <c r="S449" s="48"/>
      <c r="T449" s="1"/>
      <c r="U449" s="1"/>
      <c r="V449" s="1"/>
      <c r="W449" s="1"/>
      <c r="X449" s="1"/>
      <c r="Y449" s="1"/>
      <c r="Z449" s="1"/>
      <c r="AA449" s="1"/>
    </row>
    <row r="450" ht="12.75" customHeight="1">
      <c r="A450" s="1"/>
      <c r="B450" s="2"/>
      <c r="C450" s="3"/>
      <c r="D450" s="1"/>
      <c r="E450" s="3"/>
      <c r="F450" s="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9"/>
      <c r="S450" s="48"/>
      <c r="T450" s="1"/>
      <c r="U450" s="1"/>
      <c r="V450" s="1"/>
      <c r="W450" s="1"/>
      <c r="X450" s="1"/>
      <c r="Y450" s="1"/>
      <c r="Z450" s="1"/>
      <c r="AA450" s="1"/>
    </row>
    <row r="451" ht="12.75" customHeight="1">
      <c r="A451" s="1"/>
      <c r="B451" s="2"/>
      <c r="C451" s="3"/>
      <c r="D451" s="1"/>
      <c r="E451" s="3"/>
      <c r="F451" s="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9"/>
      <c r="S451" s="48"/>
      <c r="T451" s="1"/>
      <c r="U451" s="1"/>
      <c r="V451" s="1"/>
      <c r="W451" s="1"/>
      <c r="X451" s="1"/>
      <c r="Y451" s="1"/>
      <c r="Z451" s="1"/>
      <c r="AA451" s="1"/>
    </row>
    <row r="452" ht="12.75" customHeight="1">
      <c r="A452" s="1"/>
      <c r="B452" s="2"/>
      <c r="C452" s="3"/>
      <c r="D452" s="1"/>
      <c r="E452" s="3"/>
      <c r="F452" s="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9"/>
      <c r="S452" s="48"/>
      <c r="T452" s="1"/>
      <c r="U452" s="1"/>
      <c r="V452" s="1"/>
      <c r="W452" s="1"/>
      <c r="X452" s="1"/>
      <c r="Y452" s="1"/>
      <c r="Z452" s="1"/>
      <c r="AA452" s="1"/>
    </row>
    <row r="453" ht="12.75" customHeight="1">
      <c r="A453" s="1"/>
      <c r="B453" s="2"/>
      <c r="C453" s="3"/>
      <c r="D453" s="1"/>
      <c r="E453" s="3"/>
      <c r="F453" s="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9"/>
      <c r="S453" s="48"/>
      <c r="T453" s="1"/>
      <c r="U453" s="1"/>
      <c r="V453" s="1"/>
      <c r="W453" s="1"/>
      <c r="X453" s="1"/>
      <c r="Y453" s="1"/>
      <c r="Z453" s="1"/>
      <c r="AA453" s="1"/>
    </row>
    <row r="454" ht="12.75" customHeight="1">
      <c r="A454" s="1"/>
      <c r="B454" s="2"/>
      <c r="C454" s="3"/>
      <c r="D454" s="1"/>
      <c r="E454" s="3"/>
      <c r="F454" s="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9"/>
      <c r="S454" s="48"/>
      <c r="T454" s="1"/>
      <c r="U454" s="1"/>
      <c r="V454" s="1"/>
      <c r="W454" s="1"/>
      <c r="X454" s="1"/>
      <c r="Y454" s="1"/>
      <c r="Z454" s="1"/>
      <c r="AA454" s="1"/>
    </row>
    <row r="455" ht="12.75" customHeight="1">
      <c r="A455" s="1"/>
      <c r="B455" s="2"/>
      <c r="C455" s="3"/>
      <c r="D455" s="1"/>
      <c r="E455" s="3"/>
      <c r="F455" s="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9"/>
      <c r="S455" s="48"/>
      <c r="T455" s="1"/>
      <c r="U455" s="1"/>
      <c r="V455" s="1"/>
      <c r="W455" s="1"/>
      <c r="X455" s="1"/>
      <c r="Y455" s="1"/>
      <c r="Z455" s="1"/>
      <c r="AA455" s="1"/>
    </row>
    <row r="456" ht="12.75" customHeight="1">
      <c r="A456" s="1"/>
      <c r="B456" s="2"/>
      <c r="C456" s="3"/>
      <c r="D456" s="1"/>
      <c r="E456" s="3"/>
      <c r="F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9"/>
      <c r="S456" s="48"/>
      <c r="T456" s="1"/>
      <c r="U456" s="1"/>
      <c r="V456" s="1"/>
      <c r="W456" s="1"/>
      <c r="X456" s="1"/>
      <c r="Y456" s="1"/>
      <c r="Z456" s="1"/>
      <c r="AA456" s="1"/>
    </row>
    <row r="457" ht="12.75" customHeight="1">
      <c r="A457" s="1"/>
      <c r="B457" s="2"/>
      <c r="C457" s="3"/>
      <c r="D457" s="1"/>
      <c r="E457" s="3"/>
      <c r="F457" s="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9"/>
      <c r="S457" s="48"/>
      <c r="T457" s="1"/>
      <c r="U457" s="1"/>
      <c r="V457" s="1"/>
      <c r="W457" s="1"/>
      <c r="X457" s="1"/>
      <c r="Y457" s="1"/>
      <c r="Z457" s="1"/>
      <c r="AA457" s="1"/>
    </row>
    <row r="458" ht="12.75" customHeight="1">
      <c r="A458" s="1"/>
      <c r="B458" s="2"/>
      <c r="C458" s="3"/>
      <c r="D458" s="1"/>
      <c r="E458" s="3"/>
      <c r="F458" s="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9"/>
      <c r="S458" s="48"/>
      <c r="T458" s="1"/>
      <c r="U458" s="1"/>
      <c r="V458" s="1"/>
      <c r="W458" s="1"/>
      <c r="X458" s="1"/>
      <c r="Y458" s="1"/>
      <c r="Z458" s="1"/>
      <c r="AA458" s="1"/>
    </row>
    <row r="459" ht="12.75" customHeight="1">
      <c r="A459" s="1"/>
      <c r="B459" s="2"/>
      <c r="C459" s="3"/>
      <c r="D459" s="1"/>
      <c r="E459" s="3"/>
      <c r="F459" s="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9"/>
      <c r="S459" s="48"/>
      <c r="T459" s="1"/>
      <c r="U459" s="1"/>
      <c r="V459" s="1"/>
      <c r="W459" s="1"/>
      <c r="X459" s="1"/>
      <c r="Y459" s="1"/>
      <c r="Z459" s="1"/>
      <c r="AA459" s="1"/>
    </row>
    <row r="460" ht="12.75" customHeight="1">
      <c r="A460" s="1"/>
      <c r="B460" s="2"/>
      <c r="C460" s="3"/>
      <c r="D460" s="1"/>
      <c r="E460" s="3"/>
      <c r="F460" s="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9"/>
      <c r="S460" s="48"/>
      <c r="T460" s="1"/>
      <c r="U460" s="1"/>
      <c r="V460" s="1"/>
      <c r="W460" s="1"/>
      <c r="X460" s="1"/>
      <c r="Y460" s="1"/>
      <c r="Z460" s="1"/>
      <c r="AA460" s="1"/>
    </row>
    <row r="461" ht="12.75" customHeight="1">
      <c r="A461" s="1"/>
      <c r="B461" s="2"/>
      <c r="C461" s="3"/>
      <c r="D461" s="1"/>
      <c r="E461" s="3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9"/>
      <c r="S461" s="48"/>
      <c r="T461" s="1"/>
      <c r="U461" s="1"/>
      <c r="V461" s="1"/>
      <c r="W461" s="1"/>
      <c r="X461" s="1"/>
      <c r="Y461" s="1"/>
      <c r="Z461" s="1"/>
      <c r="AA461" s="1"/>
    </row>
    <row r="462" ht="12.75" customHeight="1">
      <c r="A462" s="1"/>
      <c r="B462" s="2"/>
      <c r="C462" s="3"/>
      <c r="D462" s="1"/>
      <c r="E462" s="3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9"/>
      <c r="S462" s="48"/>
      <c r="T462" s="1"/>
      <c r="U462" s="1"/>
      <c r="V462" s="1"/>
      <c r="W462" s="1"/>
      <c r="X462" s="1"/>
      <c r="Y462" s="1"/>
      <c r="Z462" s="1"/>
      <c r="AA462" s="1"/>
    </row>
    <row r="463" ht="12.75" customHeight="1">
      <c r="A463" s="1"/>
      <c r="B463" s="2"/>
      <c r="C463" s="3"/>
      <c r="D463" s="1"/>
      <c r="E463" s="3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9"/>
      <c r="S463" s="48"/>
      <c r="T463" s="1"/>
      <c r="U463" s="1"/>
      <c r="V463" s="1"/>
      <c r="W463" s="1"/>
      <c r="X463" s="1"/>
      <c r="Y463" s="1"/>
      <c r="Z463" s="1"/>
      <c r="AA463" s="1"/>
    </row>
    <row r="464" ht="12.75" customHeight="1">
      <c r="A464" s="1"/>
      <c r="B464" s="2"/>
      <c r="C464" s="3"/>
      <c r="D464" s="1"/>
      <c r="E464" s="3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9"/>
      <c r="S464" s="48"/>
      <c r="T464" s="1"/>
      <c r="U464" s="1"/>
      <c r="V464" s="1"/>
      <c r="W464" s="1"/>
      <c r="X464" s="1"/>
      <c r="Y464" s="1"/>
      <c r="Z464" s="1"/>
      <c r="AA464" s="1"/>
    </row>
    <row r="465" ht="12.75" customHeight="1">
      <c r="A465" s="1"/>
      <c r="B465" s="2"/>
      <c r="C465" s="3"/>
      <c r="D465" s="1"/>
      <c r="E465" s="3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9"/>
      <c r="S465" s="48"/>
      <c r="T465" s="1"/>
      <c r="U465" s="1"/>
      <c r="V465" s="1"/>
      <c r="W465" s="1"/>
      <c r="X465" s="1"/>
      <c r="Y465" s="1"/>
      <c r="Z465" s="1"/>
      <c r="AA465" s="1"/>
    </row>
    <row r="466" ht="12.75" customHeight="1">
      <c r="A466" s="1"/>
      <c r="B466" s="2"/>
      <c r="C466" s="3"/>
      <c r="D466" s="1"/>
      <c r="E466" s="3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9"/>
      <c r="S466" s="48"/>
      <c r="T466" s="1"/>
      <c r="U466" s="1"/>
      <c r="V466" s="1"/>
      <c r="W466" s="1"/>
      <c r="X466" s="1"/>
      <c r="Y466" s="1"/>
      <c r="Z466" s="1"/>
      <c r="AA466" s="1"/>
    </row>
    <row r="467" ht="12.75" customHeight="1">
      <c r="A467" s="1"/>
      <c r="B467" s="2"/>
      <c r="C467" s="3"/>
      <c r="D467" s="1"/>
      <c r="E467" s="3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9"/>
      <c r="S467" s="48"/>
      <c r="T467" s="1"/>
      <c r="U467" s="1"/>
      <c r="V467" s="1"/>
      <c r="W467" s="1"/>
      <c r="X467" s="1"/>
      <c r="Y467" s="1"/>
      <c r="Z467" s="1"/>
      <c r="AA467" s="1"/>
    </row>
    <row r="468" ht="12.75" customHeight="1">
      <c r="A468" s="1"/>
      <c r="B468" s="2"/>
      <c r="C468" s="3"/>
      <c r="D468" s="1"/>
      <c r="E468" s="3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9"/>
      <c r="S468" s="48"/>
      <c r="T468" s="1"/>
      <c r="U468" s="1"/>
      <c r="V468" s="1"/>
      <c r="W468" s="1"/>
      <c r="X468" s="1"/>
      <c r="Y468" s="1"/>
      <c r="Z468" s="1"/>
      <c r="AA468" s="1"/>
    </row>
    <row r="469" ht="12.75" customHeight="1">
      <c r="A469" s="1"/>
      <c r="B469" s="2"/>
      <c r="C469" s="3"/>
      <c r="D469" s="1"/>
      <c r="E469" s="3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9"/>
      <c r="S469" s="48"/>
      <c r="T469" s="1"/>
      <c r="U469" s="1"/>
      <c r="V469" s="1"/>
      <c r="W469" s="1"/>
      <c r="X469" s="1"/>
      <c r="Y469" s="1"/>
      <c r="Z469" s="1"/>
      <c r="AA469" s="1"/>
    </row>
    <row r="470" ht="12.75" customHeight="1">
      <c r="A470" s="1"/>
      <c r="B470" s="2"/>
      <c r="C470" s="3"/>
      <c r="D470" s="1"/>
      <c r="E470" s="3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9"/>
      <c r="S470" s="48"/>
      <c r="T470" s="1"/>
      <c r="U470" s="1"/>
      <c r="V470" s="1"/>
      <c r="W470" s="1"/>
      <c r="X470" s="1"/>
      <c r="Y470" s="1"/>
      <c r="Z470" s="1"/>
      <c r="AA470" s="1"/>
    </row>
    <row r="471" ht="12.75" customHeight="1">
      <c r="A471" s="1"/>
      <c r="B471" s="2"/>
      <c r="C471" s="3"/>
      <c r="D471" s="1"/>
      <c r="E471" s="3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9"/>
      <c r="S471" s="48"/>
      <c r="T471" s="1"/>
      <c r="U471" s="1"/>
      <c r="V471" s="1"/>
      <c r="W471" s="1"/>
      <c r="X471" s="1"/>
      <c r="Y471" s="1"/>
      <c r="Z471" s="1"/>
      <c r="AA471" s="1"/>
    </row>
    <row r="472" ht="12.75" customHeight="1">
      <c r="A472" s="1"/>
      <c r="B472" s="2"/>
      <c r="C472" s="3"/>
      <c r="D472" s="1"/>
      <c r="E472" s="3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9"/>
      <c r="S472" s="48"/>
      <c r="T472" s="1"/>
      <c r="U472" s="1"/>
      <c r="V472" s="1"/>
      <c r="W472" s="1"/>
      <c r="X472" s="1"/>
      <c r="Y472" s="1"/>
      <c r="Z472" s="1"/>
      <c r="AA472" s="1"/>
    </row>
    <row r="473" ht="12.75" customHeight="1">
      <c r="A473" s="1"/>
      <c r="B473" s="2"/>
      <c r="C473" s="3"/>
      <c r="D473" s="1"/>
      <c r="E473" s="3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9"/>
      <c r="S473" s="48"/>
      <c r="T473" s="1"/>
      <c r="U473" s="1"/>
      <c r="V473" s="1"/>
      <c r="W473" s="1"/>
      <c r="X473" s="1"/>
      <c r="Y473" s="1"/>
      <c r="Z473" s="1"/>
      <c r="AA473" s="1"/>
    </row>
    <row r="474" ht="12.75" customHeight="1">
      <c r="A474" s="1"/>
      <c r="B474" s="2"/>
      <c r="C474" s="3"/>
      <c r="D474" s="1"/>
      <c r="E474" s="3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9"/>
      <c r="S474" s="48"/>
      <c r="T474" s="1"/>
      <c r="U474" s="1"/>
      <c r="V474" s="1"/>
      <c r="W474" s="1"/>
      <c r="X474" s="1"/>
      <c r="Y474" s="1"/>
      <c r="Z474" s="1"/>
      <c r="AA474" s="1"/>
    </row>
    <row r="475" ht="12.75" customHeight="1">
      <c r="A475" s="1"/>
      <c r="B475" s="2"/>
      <c r="C475" s="3"/>
      <c r="D475" s="1"/>
      <c r="E475" s="3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9"/>
      <c r="S475" s="48"/>
      <c r="T475" s="1"/>
      <c r="U475" s="1"/>
      <c r="V475" s="1"/>
      <c r="W475" s="1"/>
      <c r="X475" s="1"/>
      <c r="Y475" s="1"/>
      <c r="Z475" s="1"/>
      <c r="AA475" s="1"/>
    </row>
    <row r="476" ht="12.75" customHeight="1">
      <c r="A476" s="1"/>
      <c r="B476" s="2"/>
      <c r="C476" s="3"/>
      <c r="D476" s="1"/>
      <c r="E476" s="3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9"/>
      <c r="S476" s="48"/>
      <c r="T476" s="1"/>
      <c r="U476" s="1"/>
      <c r="V476" s="1"/>
      <c r="W476" s="1"/>
      <c r="X476" s="1"/>
      <c r="Y476" s="1"/>
      <c r="Z476" s="1"/>
      <c r="AA476" s="1"/>
    </row>
    <row r="477" ht="12.75" customHeight="1">
      <c r="A477" s="1"/>
      <c r="B477" s="2"/>
      <c r="C477" s="3"/>
      <c r="D477" s="1"/>
      <c r="E477" s="3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9"/>
      <c r="S477" s="48"/>
      <c r="T477" s="1"/>
      <c r="U477" s="1"/>
      <c r="V477" s="1"/>
      <c r="W477" s="1"/>
      <c r="X477" s="1"/>
      <c r="Y477" s="1"/>
      <c r="Z477" s="1"/>
      <c r="AA477" s="1"/>
    </row>
    <row r="478" ht="12.75" customHeight="1">
      <c r="A478" s="1"/>
      <c r="B478" s="2"/>
      <c r="C478" s="3"/>
      <c r="D478" s="1"/>
      <c r="E478" s="3"/>
      <c r="F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9"/>
      <c r="S478" s="48"/>
      <c r="T478" s="1"/>
      <c r="U478" s="1"/>
      <c r="V478" s="1"/>
      <c r="W478" s="1"/>
      <c r="X478" s="1"/>
      <c r="Y478" s="1"/>
      <c r="Z478" s="1"/>
      <c r="AA478" s="1"/>
    </row>
    <row r="479" ht="12.75" customHeight="1">
      <c r="A479" s="1"/>
      <c r="B479" s="2"/>
      <c r="C479" s="3"/>
      <c r="D479" s="1"/>
      <c r="E479" s="3"/>
      <c r="F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9"/>
      <c r="S479" s="48"/>
      <c r="T479" s="1"/>
      <c r="U479" s="1"/>
      <c r="V479" s="1"/>
      <c r="W479" s="1"/>
      <c r="X479" s="1"/>
      <c r="Y479" s="1"/>
      <c r="Z479" s="1"/>
      <c r="AA479" s="1"/>
    </row>
    <row r="480" ht="12.75" customHeight="1">
      <c r="A480" s="1"/>
      <c r="B480" s="2"/>
      <c r="C480" s="3"/>
      <c r="D480" s="1"/>
      <c r="E480" s="3"/>
      <c r="F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9"/>
      <c r="S480" s="48"/>
      <c r="T480" s="1"/>
      <c r="U480" s="1"/>
      <c r="V480" s="1"/>
      <c r="W480" s="1"/>
      <c r="X480" s="1"/>
      <c r="Y480" s="1"/>
      <c r="Z480" s="1"/>
      <c r="AA480" s="1"/>
    </row>
    <row r="481" ht="12.75" customHeight="1">
      <c r="A481" s="1"/>
      <c r="B481" s="2"/>
      <c r="C481" s="3"/>
      <c r="D481" s="1"/>
      <c r="E481" s="3"/>
      <c r="F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9"/>
      <c r="S481" s="48"/>
      <c r="T481" s="1"/>
      <c r="U481" s="1"/>
      <c r="V481" s="1"/>
      <c r="W481" s="1"/>
      <c r="X481" s="1"/>
      <c r="Y481" s="1"/>
      <c r="Z481" s="1"/>
      <c r="AA481" s="1"/>
    </row>
    <row r="482" ht="12.75" customHeight="1">
      <c r="A482" s="1"/>
      <c r="B482" s="2"/>
      <c r="C482" s="3"/>
      <c r="D482" s="1"/>
      <c r="E482" s="3"/>
      <c r="F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9"/>
      <c r="S482" s="48"/>
      <c r="T482" s="1"/>
      <c r="U482" s="1"/>
      <c r="V482" s="1"/>
      <c r="W482" s="1"/>
      <c r="X482" s="1"/>
      <c r="Y482" s="1"/>
      <c r="Z482" s="1"/>
      <c r="AA482" s="1"/>
    </row>
    <row r="483" ht="12.75" customHeight="1">
      <c r="A483" s="1"/>
      <c r="B483" s="2"/>
      <c r="C483" s="3"/>
      <c r="D483" s="1"/>
      <c r="E483" s="3"/>
      <c r="F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9"/>
      <c r="S483" s="48"/>
      <c r="T483" s="1"/>
      <c r="U483" s="1"/>
      <c r="V483" s="1"/>
      <c r="W483" s="1"/>
      <c r="X483" s="1"/>
      <c r="Y483" s="1"/>
      <c r="Z483" s="1"/>
      <c r="AA483" s="1"/>
    </row>
    <row r="484" ht="12.75" customHeight="1">
      <c r="A484" s="1"/>
      <c r="B484" s="2"/>
      <c r="C484" s="3"/>
      <c r="D484" s="1"/>
      <c r="E484" s="3"/>
      <c r="F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9"/>
      <c r="S484" s="48"/>
      <c r="T484" s="1"/>
      <c r="U484" s="1"/>
      <c r="V484" s="1"/>
      <c r="W484" s="1"/>
      <c r="X484" s="1"/>
      <c r="Y484" s="1"/>
      <c r="Z484" s="1"/>
      <c r="AA484" s="1"/>
    </row>
    <row r="485" ht="12.75" customHeight="1">
      <c r="A485" s="1"/>
      <c r="B485" s="2"/>
      <c r="C485" s="3"/>
      <c r="D485" s="1"/>
      <c r="E485" s="3"/>
      <c r="F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9"/>
      <c r="S485" s="48"/>
      <c r="T485" s="1"/>
      <c r="U485" s="1"/>
      <c r="V485" s="1"/>
      <c r="W485" s="1"/>
      <c r="X485" s="1"/>
      <c r="Y485" s="1"/>
      <c r="Z485" s="1"/>
      <c r="AA485" s="1"/>
    </row>
    <row r="486" ht="12.75" customHeight="1">
      <c r="A486" s="1"/>
      <c r="B486" s="2"/>
      <c r="C486" s="3"/>
      <c r="D486" s="1"/>
      <c r="E486" s="3"/>
      <c r="F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9"/>
      <c r="S486" s="48"/>
      <c r="T486" s="1"/>
      <c r="U486" s="1"/>
      <c r="V486" s="1"/>
      <c r="W486" s="1"/>
      <c r="X486" s="1"/>
      <c r="Y486" s="1"/>
      <c r="Z486" s="1"/>
      <c r="AA486" s="1"/>
    </row>
    <row r="487" ht="12.75" customHeight="1">
      <c r="A487" s="1"/>
      <c r="B487" s="2"/>
      <c r="C487" s="3"/>
      <c r="D487" s="1"/>
      <c r="E487" s="3"/>
      <c r="F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9"/>
      <c r="S487" s="48"/>
      <c r="T487" s="1"/>
      <c r="U487" s="1"/>
      <c r="V487" s="1"/>
      <c r="W487" s="1"/>
      <c r="X487" s="1"/>
      <c r="Y487" s="1"/>
      <c r="Z487" s="1"/>
      <c r="AA487" s="1"/>
    </row>
    <row r="488" ht="12.75" customHeight="1">
      <c r="A488" s="1"/>
      <c r="B488" s="2"/>
      <c r="C488" s="3"/>
      <c r="D488" s="1"/>
      <c r="E488" s="3"/>
      <c r="F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9"/>
      <c r="S488" s="48"/>
      <c r="T488" s="1"/>
      <c r="U488" s="1"/>
      <c r="V488" s="1"/>
      <c r="W488" s="1"/>
      <c r="X488" s="1"/>
      <c r="Y488" s="1"/>
      <c r="Z488" s="1"/>
      <c r="AA488" s="1"/>
    </row>
    <row r="489" ht="12.75" customHeight="1">
      <c r="A489" s="1"/>
      <c r="B489" s="2"/>
      <c r="C489" s="3"/>
      <c r="D489" s="1"/>
      <c r="E489" s="3"/>
      <c r="F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9"/>
      <c r="S489" s="48"/>
      <c r="T489" s="1"/>
      <c r="U489" s="1"/>
      <c r="V489" s="1"/>
      <c r="W489" s="1"/>
      <c r="X489" s="1"/>
      <c r="Y489" s="1"/>
      <c r="Z489" s="1"/>
      <c r="AA489" s="1"/>
    </row>
    <row r="490" ht="12.75" customHeight="1">
      <c r="A490" s="1"/>
      <c r="B490" s="2"/>
      <c r="C490" s="3"/>
      <c r="D490" s="1"/>
      <c r="E490" s="3"/>
      <c r="F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9"/>
      <c r="S490" s="48"/>
      <c r="T490" s="1"/>
      <c r="U490" s="1"/>
      <c r="V490" s="1"/>
      <c r="W490" s="1"/>
      <c r="X490" s="1"/>
      <c r="Y490" s="1"/>
      <c r="Z490" s="1"/>
      <c r="AA490" s="1"/>
    </row>
    <row r="491" ht="12.75" customHeight="1">
      <c r="A491" s="1"/>
      <c r="B491" s="2"/>
      <c r="C491" s="3"/>
      <c r="D491" s="1"/>
      <c r="E491" s="3"/>
      <c r="F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9"/>
      <c r="S491" s="48"/>
      <c r="T491" s="1"/>
      <c r="U491" s="1"/>
      <c r="V491" s="1"/>
      <c r="W491" s="1"/>
      <c r="X491" s="1"/>
      <c r="Y491" s="1"/>
      <c r="Z491" s="1"/>
      <c r="AA491" s="1"/>
    </row>
    <row r="492" ht="12.75" customHeight="1">
      <c r="A492" s="1"/>
      <c r="B492" s="2"/>
      <c r="C492" s="3"/>
      <c r="D492" s="1"/>
      <c r="E492" s="3"/>
      <c r="F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9"/>
      <c r="S492" s="48"/>
      <c r="T492" s="1"/>
      <c r="U492" s="1"/>
      <c r="V492" s="1"/>
      <c r="W492" s="1"/>
      <c r="X492" s="1"/>
      <c r="Y492" s="1"/>
      <c r="Z492" s="1"/>
      <c r="AA492" s="1"/>
    </row>
    <row r="493" ht="12.75" customHeight="1">
      <c r="A493" s="1"/>
      <c r="B493" s="2"/>
      <c r="C493" s="3"/>
      <c r="D493" s="1"/>
      <c r="E493" s="3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9"/>
      <c r="S493" s="48"/>
      <c r="T493" s="1"/>
      <c r="U493" s="1"/>
      <c r="V493" s="1"/>
      <c r="W493" s="1"/>
      <c r="X493" s="1"/>
      <c r="Y493" s="1"/>
      <c r="Z493" s="1"/>
      <c r="AA493" s="1"/>
    </row>
    <row r="494" ht="12.75" customHeight="1">
      <c r="A494" s="1"/>
      <c r="B494" s="2"/>
      <c r="C494" s="3"/>
      <c r="D494" s="1"/>
      <c r="E494" s="3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9"/>
      <c r="S494" s="48"/>
      <c r="T494" s="1"/>
      <c r="U494" s="1"/>
      <c r="V494" s="1"/>
      <c r="W494" s="1"/>
      <c r="X494" s="1"/>
      <c r="Y494" s="1"/>
      <c r="Z494" s="1"/>
      <c r="AA494" s="1"/>
    </row>
    <row r="495" ht="12.75" customHeight="1">
      <c r="A495" s="1"/>
      <c r="B495" s="2"/>
      <c r="C495" s="3"/>
      <c r="D495" s="1"/>
      <c r="E495" s="3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9"/>
      <c r="S495" s="48"/>
      <c r="T495" s="1"/>
      <c r="U495" s="1"/>
      <c r="V495" s="1"/>
      <c r="W495" s="1"/>
      <c r="X495" s="1"/>
      <c r="Y495" s="1"/>
      <c r="Z495" s="1"/>
      <c r="AA495" s="1"/>
    </row>
    <row r="496" ht="12.75" customHeight="1">
      <c r="A496" s="1"/>
      <c r="B496" s="2"/>
      <c r="C496" s="3"/>
      <c r="D496" s="1"/>
      <c r="E496" s="3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9"/>
      <c r="S496" s="48"/>
      <c r="T496" s="1"/>
      <c r="U496" s="1"/>
      <c r="V496" s="1"/>
      <c r="W496" s="1"/>
      <c r="X496" s="1"/>
      <c r="Y496" s="1"/>
      <c r="Z496" s="1"/>
      <c r="AA496" s="1"/>
    </row>
    <row r="497" ht="12.75" customHeight="1">
      <c r="A497" s="1"/>
      <c r="B497" s="2"/>
      <c r="C497" s="3"/>
      <c r="D497" s="1"/>
      <c r="E497" s="3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9"/>
      <c r="S497" s="48"/>
      <c r="T497" s="1"/>
      <c r="U497" s="1"/>
      <c r="V497" s="1"/>
      <c r="W497" s="1"/>
      <c r="X497" s="1"/>
      <c r="Y497" s="1"/>
      <c r="Z497" s="1"/>
      <c r="AA497" s="1"/>
    </row>
    <row r="498" ht="12.75" customHeight="1">
      <c r="A498" s="1"/>
      <c r="B498" s="2"/>
      <c r="C498" s="3"/>
      <c r="D498" s="1"/>
      <c r="E498" s="3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9"/>
      <c r="S498" s="48"/>
      <c r="T498" s="1"/>
      <c r="U498" s="1"/>
      <c r="V498" s="1"/>
      <c r="W498" s="1"/>
      <c r="X498" s="1"/>
      <c r="Y498" s="1"/>
      <c r="Z498" s="1"/>
      <c r="AA498" s="1"/>
    </row>
    <row r="499" ht="12.75" customHeight="1">
      <c r="A499" s="1"/>
      <c r="B499" s="2"/>
      <c r="C499" s="3"/>
      <c r="D499" s="1"/>
      <c r="E499" s="3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9"/>
      <c r="S499" s="48"/>
      <c r="T499" s="1"/>
      <c r="U499" s="1"/>
      <c r="V499" s="1"/>
      <c r="W499" s="1"/>
      <c r="X499" s="1"/>
      <c r="Y499" s="1"/>
      <c r="Z499" s="1"/>
      <c r="AA499" s="1"/>
    </row>
    <row r="500" ht="12.75" customHeight="1">
      <c r="A500" s="1"/>
      <c r="B500" s="2"/>
      <c r="C500" s="3"/>
      <c r="D500" s="1"/>
      <c r="E500" s="3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9"/>
      <c r="S500" s="48"/>
      <c r="T500" s="1"/>
      <c r="U500" s="1"/>
      <c r="V500" s="1"/>
      <c r="W500" s="1"/>
      <c r="X500" s="1"/>
      <c r="Y500" s="1"/>
      <c r="Z500" s="1"/>
      <c r="AA500" s="1"/>
    </row>
    <row r="501" ht="12.75" customHeight="1">
      <c r="A501" s="1"/>
      <c r="B501" s="2"/>
      <c r="C501" s="3"/>
      <c r="D501" s="1"/>
      <c r="E501" s="3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9"/>
      <c r="S501" s="48"/>
      <c r="T501" s="1"/>
      <c r="U501" s="1"/>
      <c r="V501" s="1"/>
      <c r="W501" s="1"/>
      <c r="X501" s="1"/>
      <c r="Y501" s="1"/>
      <c r="Z501" s="1"/>
      <c r="AA501" s="1"/>
    </row>
    <row r="502" ht="12.75" customHeight="1">
      <c r="A502" s="1"/>
      <c r="B502" s="2"/>
      <c r="C502" s="3"/>
      <c r="D502" s="1"/>
      <c r="E502" s="3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9"/>
      <c r="S502" s="48"/>
      <c r="T502" s="1"/>
      <c r="U502" s="1"/>
      <c r="V502" s="1"/>
      <c r="W502" s="1"/>
      <c r="X502" s="1"/>
      <c r="Y502" s="1"/>
      <c r="Z502" s="1"/>
      <c r="AA502" s="1"/>
    </row>
    <row r="503" ht="12.75" customHeight="1">
      <c r="A503" s="1"/>
      <c r="B503" s="2"/>
      <c r="C503" s="3"/>
      <c r="D503" s="1"/>
      <c r="E503" s="3"/>
      <c r="F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9"/>
      <c r="S503" s="48"/>
      <c r="T503" s="1"/>
      <c r="U503" s="1"/>
      <c r="V503" s="1"/>
      <c r="W503" s="1"/>
      <c r="X503" s="1"/>
      <c r="Y503" s="1"/>
      <c r="Z503" s="1"/>
      <c r="AA503" s="1"/>
    </row>
    <row r="504" ht="12.75" customHeight="1">
      <c r="A504" s="1"/>
      <c r="B504" s="2"/>
      <c r="C504" s="3"/>
      <c r="D504" s="1"/>
      <c r="E504" s="3"/>
      <c r="F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9"/>
      <c r="S504" s="48"/>
      <c r="T504" s="1"/>
      <c r="U504" s="1"/>
      <c r="V504" s="1"/>
      <c r="W504" s="1"/>
      <c r="X504" s="1"/>
      <c r="Y504" s="1"/>
      <c r="Z504" s="1"/>
      <c r="AA504" s="1"/>
    </row>
    <row r="505" ht="12.75" customHeight="1">
      <c r="A505" s="1"/>
      <c r="B505" s="2"/>
      <c r="C505" s="3"/>
      <c r="D505" s="1"/>
      <c r="E505" s="3"/>
      <c r="F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9"/>
      <c r="S505" s="48"/>
      <c r="T505" s="1"/>
      <c r="U505" s="1"/>
      <c r="V505" s="1"/>
      <c r="W505" s="1"/>
      <c r="X505" s="1"/>
      <c r="Y505" s="1"/>
      <c r="Z505" s="1"/>
      <c r="AA505" s="1"/>
    </row>
    <row r="506" ht="12.75" customHeight="1">
      <c r="A506" s="1"/>
      <c r="B506" s="2"/>
      <c r="C506" s="3"/>
      <c r="D506" s="1"/>
      <c r="E506" s="3"/>
      <c r="F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9"/>
      <c r="S506" s="48"/>
      <c r="T506" s="1"/>
      <c r="U506" s="1"/>
      <c r="V506" s="1"/>
      <c r="W506" s="1"/>
      <c r="X506" s="1"/>
      <c r="Y506" s="1"/>
      <c r="Z506" s="1"/>
      <c r="AA506" s="1"/>
    </row>
    <row r="507" ht="12.75" customHeight="1">
      <c r="A507" s="1"/>
      <c r="B507" s="2"/>
      <c r="C507" s="3"/>
      <c r="D507" s="1"/>
      <c r="E507" s="3"/>
      <c r="F507" s="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9"/>
      <c r="S507" s="48"/>
      <c r="T507" s="1"/>
      <c r="U507" s="1"/>
      <c r="V507" s="1"/>
      <c r="W507" s="1"/>
      <c r="X507" s="1"/>
      <c r="Y507" s="1"/>
      <c r="Z507" s="1"/>
      <c r="AA507" s="1"/>
    </row>
    <row r="508" ht="12.75" customHeight="1">
      <c r="A508" s="1"/>
      <c r="B508" s="2"/>
      <c r="C508" s="3"/>
      <c r="D508" s="1"/>
      <c r="E508" s="3"/>
      <c r="F508" s="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9"/>
      <c r="S508" s="48"/>
      <c r="T508" s="1"/>
      <c r="U508" s="1"/>
      <c r="V508" s="1"/>
      <c r="W508" s="1"/>
      <c r="X508" s="1"/>
      <c r="Y508" s="1"/>
      <c r="Z508" s="1"/>
      <c r="AA508" s="1"/>
    </row>
    <row r="509" ht="12.75" customHeight="1">
      <c r="A509" s="1"/>
      <c r="B509" s="2"/>
      <c r="C509" s="3"/>
      <c r="D509" s="1"/>
      <c r="E509" s="3"/>
      <c r="F509" s="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9"/>
      <c r="S509" s="48"/>
      <c r="T509" s="1"/>
      <c r="U509" s="1"/>
      <c r="V509" s="1"/>
      <c r="W509" s="1"/>
      <c r="X509" s="1"/>
      <c r="Y509" s="1"/>
      <c r="Z509" s="1"/>
      <c r="AA509" s="1"/>
    </row>
    <row r="510" ht="12.75" customHeight="1">
      <c r="A510" s="1"/>
      <c r="B510" s="2"/>
      <c r="C510" s="3"/>
      <c r="D510" s="1"/>
      <c r="E510" s="3"/>
      <c r="F510" s="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9"/>
      <c r="S510" s="48"/>
      <c r="T510" s="1"/>
      <c r="U510" s="1"/>
      <c r="V510" s="1"/>
      <c r="W510" s="1"/>
      <c r="X510" s="1"/>
      <c r="Y510" s="1"/>
      <c r="Z510" s="1"/>
      <c r="AA510" s="1"/>
    </row>
    <row r="511" ht="12.75" customHeight="1">
      <c r="A511" s="1"/>
      <c r="B511" s="2"/>
      <c r="C511" s="3"/>
      <c r="D511" s="1"/>
      <c r="E511" s="3"/>
      <c r="F511" s="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9"/>
      <c r="S511" s="48"/>
      <c r="T511" s="1"/>
      <c r="U511" s="1"/>
      <c r="V511" s="1"/>
      <c r="W511" s="1"/>
      <c r="X511" s="1"/>
      <c r="Y511" s="1"/>
      <c r="Z511" s="1"/>
      <c r="AA511" s="1"/>
    </row>
    <row r="512" ht="12.75" customHeight="1">
      <c r="A512" s="1"/>
      <c r="B512" s="2"/>
      <c r="C512" s="3"/>
      <c r="D512" s="1"/>
      <c r="E512" s="3"/>
      <c r="F512" s="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9"/>
      <c r="S512" s="48"/>
      <c r="T512" s="1"/>
      <c r="U512" s="1"/>
      <c r="V512" s="1"/>
      <c r="W512" s="1"/>
      <c r="X512" s="1"/>
      <c r="Y512" s="1"/>
      <c r="Z512" s="1"/>
      <c r="AA512" s="1"/>
    </row>
    <row r="513" ht="12.75" customHeight="1">
      <c r="A513" s="1"/>
      <c r="B513" s="2"/>
      <c r="C513" s="3"/>
      <c r="D513" s="1"/>
      <c r="E513" s="3"/>
      <c r="F513" s="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9"/>
      <c r="S513" s="48"/>
      <c r="T513" s="1"/>
      <c r="U513" s="1"/>
      <c r="V513" s="1"/>
      <c r="W513" s="1"/>
      <c r="X513" s="1"/>
      <c r="Y513" s="1"/>
      <c r="Z513" s="1"/>
      <c r="AA513" s="1"/>
    </row>
    <row r="514" ht="12.75" customHeight="1">
      <c r="A514" s="1"/>
      <c r="B514" s="2"/>
      <c r="C514" s="3"/>
      <c r="D514" s="1"/>
      <c r="E514" s="3"/>
      <c r="F514" s="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9"/>
      <c r="S514" s="48"/>
      <c r="T514" s="1"/>
      <c r="U514" s="1"/>
      <c r="V514" s="1"/>
      <c r="W514" s="1"/>
      <c r="X514" s="1"/>
      <c r="Y514" s="1"/>
      <c r="Z514" s="1"/>
      <c r="AA514" s="1"/>
    </row>
    <row r="515" ht="12.75" customHeight="1">
      <c r="A515" s="1"/>
      <c r="B515" s="2"/>
      <c r="C515" s="3"/>
      <c r="D515" s="1"/>
      <c r="E515" s="3"/>
      <c r="F515" s="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9"/>
      <c r="S515" s="48"/>
      <c r="T515" s="1"/>
      <c r="U515" s="1"/>
      <c r="V515" s="1"/>
      <c r="W515" s="1"/>
      <c r="X515" s="1"/>
      <c r="Y515" s="1"/>
      <c r="Z515" s="1"/>
      <c r="AA515" s="1"/>
    </row>
    <row r="516" ht="12.75" customHeight="1">
      <c r="A516" s="1"/>
      <c r="B516" s="2"/>
      <c r="C516" s="3"/>
      <c r="D516" s="1"/>
      <c r="E516" s="3"/>
      <c r="F516" s="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9"/>
      <c r="S516" s="48"/>
      <c r="T516" s="1"/>
      <c r="U516" s="1"/>
      <c r="V516" s="1"/>
      <c r="W516" s="1"/>
      <c r="X516" s="1"/>
      <c r="Y516" s="1"/>
      <c r="Z516" s="1"/>
      <c r="AA516" s="1"/>
    </row>
    <row r="517" ht="12.75" customHeight="1">
      <c r="A517" s="1"/>
      <c r="B517" s="2"/>
      <c r="C517" s="3"/>
      <c r="D517" s="1"/>
      <c r="E517" s="3"/>
      <c r="F517" s="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9"/>
      <c r="S517" s="48"/>
      <c r="T517" s="1"/>
      <c r="U517" s="1"/>
      <c r="V517" s="1"/>
      <c r="W517" s="1"/>
      <c r="X517" s="1"/>
      <c r="Y517" s="1"/>
      <c r="Z517" s="1"/>
      <c r="AA517" s="1"/>
    </row>
    <row r="518" ht="12.75" customHeight="1">
      <c r="A518" s="1"/>
      <c r="B518" s="2"/>
      <c r="C518" s="3"/>
      <c r="D518" s="1"/>
      <c r="E518" s="3"/>
      <c r="F518" s="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9"/>
      <c r="S518" s="48"/>
      <c r="T518" s="1"/>
      <c r="U518" s="1"/>
      <c r="V518" s="1"/>
      <c r="W518" s="1"/>
      <c r="X518" s="1"/>
      <c r="Y518" s="1"/>
      <c r="Z518" s="1"/>
      <c r="AA518" s="1"/>
    </row>
    <row r="519" ht="12.75" customHeight="1">
      <c r="A519" s="1"/>
      <c r="B519" s="2"/>
      <c r="C519" s="3"/>
      <c r="D519" s="1"/>
      <c r="E519" s="3"/>
      <c r="F519" s="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9"/>
      <c r="S519" s="48"/>
      <c r="T519" s="1"/>
      <c r="U519" s="1"/>
      <c r="V519" s="1"/>
      <c r="W519" s="1"/>
      <c r="X519" s="1"/>
      <c r="Y519" s="1"/>
      <c r="Z519" s="1"/>
      <c r="AA519" s="1"/>
    </row>
    <row r="520" ht="12.75" customHeight="1">
      <c r="A520" s="1"/>
      <c r="B520" s="2"/>
      <c r="C520" s="3"/>
      <c r="D520" s="1"/>
      <c r="E520" s="3"/>
      <c r="F520" s="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9"/>
      <c r="S520" s="48"/>
      <c r="T520" s="1"/>
      <c r="U520" s="1"/>
      <c r="V520" s="1"/>
      <c r="W520" s="1"/>
      <c r="X520" s="1"/>
      <c r="Y520" s="1"/>
      <c r="Z520" s="1"/>
      <c r="AA520" s="1"/>
    </row>
    <row r="521" ht="12.75" customHeight="1">
      <c r="A521" s="1"/>
      <c r="B521" s="2"/>
      <c r="C521" s="3"/>
      <c r="D521" s="1"/>
      <c r="E521" s="3"/>
      <c r="F521" s="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9"/>
      <c r="S521" s="48"/>
      <c r="T521" s="1"/>
      <c r="U521" s="1"/>
      <c r="V521" s="1"/>
      <c r="W521" s="1"/>
      <c r="X521" s="1"/>
      <c r="Y521" s="1"/>
      <c r="Z521" s="1"/>
      <c r="AA521" s="1"/>
    </row>
    <row r="522" ht="12.75" customHeight="1">
      <c r="A522" s="1"/>
      <c r="B522" s="2"/>
      <c r="C522" s="3"/>
      <c r="D522" s="1"/>
      <c r="E522" s="3"/>
      <c r="F522" s="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9"/>
      <c r="S522" s="48"/>
      <c r="T522" s="1"/>
      <c r="U522" s="1"/>
      <c r="V522" s="1"/>
      <c r="W522" s="1"/>
      <c r="X522" s="1"/>
      <c r="Y522" s="1"/>
      <c r="Z522" s="1"/>
      <c r="AA522" s="1"/>
    </row>
    <row r="523" ht="12.75" customHeight="1">
      <c r="A523" s="1"/>
      <c r="B523" s="2"/>
      <c r="C523" s="3"/>
      <c r="D523" s="1"/>
      <c r="E523" s="3"/>
      <c r="F523" s="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9"/>
      <c r="S523" s="48"/>
      <c r="T523" s="1"/>
      <c r="U523" s="1"/>
      <c r="V523" s="1"/>
      <c r="W523" s="1"/>
      <c r="X523" s="1"/>
      <c r="Y523" s="1"/>
      <c r="Z523" s="1"/>
      <c r="AA523" s="1"/>
    </row>
    <row r="524" ht="12.75" customHeight="1">
      <c r="A524" s="1"/>
      <c r="B524" s="2"/>
      <c r="C524" s="3"/>
      <c r="D524" s="1"/>
      <c r="E524" s="3"/>
      <c r="F524" s="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9"/>
      <c r="S524" s="48"/>
      <c r="T524" s="1"/>
      <c r="U524" s="1"/>
      <c r="V524" s="1"/>
      <c r="W524" s="1"/>
      <c r="X524" s="1"/>
      <c r="Y524" s="1"/>
      <c r="Z524" s="1"/>
      <c r="AA524" s="1"/>
    </row>
    <row r="525" ht="12.75" customHeight="1">
      <c r="A525" s="1"/>
      <c r="B525" s="2"/>
      <c r="C525" s="3"/>
      <c r="D525" s="1"/>
      <c r="E525" s="3"/>
      <c r="F525" s="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9"/>
      <c r="S525" s="48"/>
      <c r="T525" s="1"/>
      <c r="U525" s="1"/>
      <c r="V525" s="1"/>
      <c r="W525" s="1"/>
      <c r="X525" s="1"/>
      <c r="Y525" s="1"/>
      <c r="Z525" s="1"/>
      <c r="AA525" s="1"/>
    </row>
    <row r="526" ht="12.75" customHeight="1">
      <c r="A526" s="1"/>
      <c r="B526" s="2"/>
      <c r="C526" s="3"/>
      <c r="D526" s="1"/>
      <c r="E526" s="3"/>
      <c r="F526" s="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9"/>
      <c r="S526" s="48"/>
      <c r="T526" s="1"/>
      <c r="U526" s="1"/>
      <c r="V526" s="1"/>
      <c r="W526" s="1"/>
      <c r="X526" s="1"/>
      <c r="Y526" s="1"/>
      <c r="Z526" s="1"/>
      <c r="AA526" s="1"/>
    </row>
    <row r="527" ht="12.75" customHeight="1">
      <c r="A527" s="1"/>
      <c r="B527" s="2"/>
      <c r="C527" s="3"/>
      <c r="D527" s="1"/>
      <c r="E527" s="3"/>
      <c r="F527" s="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9"/>
      <c r="S527" s="48"/>
      <c r="T527" s="1"/>
      <c r="U527" s="1"/>
      <c r="V527" s="1"/>
      <c r="W527" s="1"/>
      <c r="X527" s="1"/>
      <c r="Y527" s="1"/>
      <c r="Z527" s="1"/>
      <c r="AA527" s="1"/>
    </row>
    <row r="528" ht="12.75" customHeight="1">
      <c r="A528" s="1"/>
      <c r="B528" s="2"/>
      <c r="C528" s="3"/>
      <c r="D528" s="1"/>
      <c r="E528" s="3"/>
      <c r="F528" s="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9"/>
      <c r="S528" s="48"/>
      <c r="T528" s="1"/>
      <c r="U528" s="1"/>
      <c r="V528" s="1"/>
      <c r="W528" s="1"/>
      <c r="X528" s="1"/>
      <c r="Y528" s="1"/>
      <c r="Z528" s="1"/>
      <c r="AA528" s="1"/>
    </row>
    <row r="529" ht="12.75" customHeight="1">
      <c r="A529" s="1"/>
      <c r="B529" s="2"/>
      <c r="C529" s="3"/>
      <c r="D529" s="1"/>
      <c r="E529" s="3"/>
      <c r="F529" s="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9"/>
      <c r="S529" s="48"/>
      <c r="T529" s="1"/>
      <c r="U529" s="1"/>
      <c r="V529" s="1"/>
      <c r="W529" s="1"/>
      <c r="X529" s="1"/>
      <c r="Y529" s="1"/>
      <c r="Z529" s="1"/>
      <c r="AA529" s="1"/>
    </row>
    <row r="530" ht="12.75" customHeight="1">
      <c r="A530" s="1"/>
      <c r="B530" s="2"/>
      <c r="C530" s="3"/>
      <c r="D530" s="1"/>
      <c r="E530" s="3"/>
      <c r="F530" s="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9"/>
      <c r="S530" s="48"/>
      <c r="T530" s="1"/>
      <c r="U530" s="1"/>
      <c r="V530" s="1"/>
      <c r="W530" s="1"/>
      <c r="X530" s="1"/>
      <c r="Y530" s="1"/>
      <c r="Z530" s="1"/>
      <c r="AA530" s="1"/>
    </row>
    <row r="531" ht="12.75" customHeight="1">
      <c r="A531" s="1"/>
      <c r="B531" s="2"/>
      <c r="C531" s="3"/>
      <c r="D531" s="1"/>
      <c r="E531" s="3"/>
      <c r="F531" s="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9"/>
      <c r="S531" s="48"/>
      <c r="T531" s="1"/>
      <c r="U531" s="1"/>
      <c r="V531" s="1"/>
      <c r="W531" s="1"/>
      <c r="X531" s="1"/>
      <c r="Y531" s="1"/>
      <c r="Z531" s="1"/>
      <c r="AA531" s="1"/>
    </row>
    <row r="532" ht="12.75" customHeight="1">
      <c r="A532" s="1"/>
      <c r="B532" s="2"/>
      <c r="C532" s="3"/>
      <c r="D532" s="1"/>
      <c r="E532" s="3"/>
      <c r="F532" s="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9"/>
      <c r="S532" s="48"/>
      <c r="T532" s="1"/>
      <c r="U532" s="1"/>
      <c r="V532" s="1"/>
      <c r="W532" s="1"/>
      <c r="X532" s="1"/>
      <c r="Y532" s="1"/>
      <c r="Z532" s="1"/>
      <c r="AA532" s="1"/>
    </row>
    <row r="533" ht="12.75" customHeight="1">
      <c r="A533" s="1"/>
      <c r="B533" s="2"/>
      <c r="C533" s="3"/>
      <c r="D533" s="1"/>
      <c r="E533" s="3"/>
      <c r="F533" s="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9"/>
      <c r="S533" s="48"/>
      <c r="T533" s="1"/>
      <c r="U533" s="1"/>
      <c r="V533" s="1"/>
      <c r="W533" s="1"/>
      <c r="X533" s="1"/>
      <c r="Y533" s="1"/>
      <c r="Z533" s="1"/>
      <c r="AA533" s="1"/>
    </row>
    <row r="534" ht="12.75" customHeight="1">
      <c r="A534" s="1"/>
      <c r="B534" s="2"/>
      <c r="C534" s="3"/>
      <c r="D534" s="1"/>
      <c r="E534" s="3"/>
      <c r="F534" s="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9"/>
      <c r="S534" s="48"/>
      <c r="T534" s="1"/>
      <c r="U534" s="1"/>
      <c r="V534" s="1"/>
      <c r="W534" s="1"/>
      <c r="X534" s="1"/>
      <c r="Y534" s="1"/>
      <c r="Z534" s="1"/>
      <c r="AA534" s="1"/>
    </row>
    <row r="535" ht="12.75" customHeight="1">
      <c r="A535" s="1"/>
      <c r="B535" s="2"/>
      <c r="C535" s="3"/>
      <c r="D535" s="1"/>
      <c r="E535" s="3"/>
      <c r="F535" s="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9"/>
      <c r="S535" s="48"/>
      <c r="T535" s="1"/>
      <c r="U535" s="1"/>
      <c r="V535" s="1"/>
      <c r="W535" s="1"/>
      <c r="X535" s="1"/>
      <c r="Y535" s="1"/>
      <c r="Z535" s="1"/>
      <c r="AA535" s="1"/>
    </row>
    <row r="536" ht="12.75" customHeight="1">
      <c r="A536" s="1"/>
      <c r="B536" s="2"/>
      <c r="C536" s="3"/>
      <c r="D536" s="1"/>
      <c r="E536" s="3"/>
      <c r="F536" s="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9"/>
      <c r="S536" s="48"/>
      <c r="T536" s="1"/>
      <c r="U536" s="1"/>
      <c r="V536" s="1"/>
      <c r="W536" s="1"/>
      <c r="X536" s="1"/>
      <c r="Y536" s="1"/>
      <c r="Z536" s="1"/>
      <c r="AA536" s="1"/>
    </row>
    <row r="537" ht="12.75" customHeight="1">
      <c r="A537" s="1"/>
      <c r="B537" s="2"/>
      <c r="C537" s="3"/>
      <c r="D537" s="1"/>
      <c r="E537" s="3"/>
      <c r="F537" s="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9"/>
      <c r="S537" s="48"/>
      <c r="T537" s="1"/>
      <c r="U537" s="1"/>
      <c r="V537" s="1"/>
      <c r="W537" s="1"/>
      <c r="X537" s="1"/>
      <c r="Y537" s="1"/>
      <c r="Z537" s="1"/>
      <c r="AA537" s="1"/>
    </row>
    <row r="538" ht="12.75" customHeight="1">
      <c r="A538" s="1"/>
      <c r="B538" s="2"/>
      <c r="C538" s="3"/>
      <c r="D538" s="1"/>
      <c r="E538" s="3"/>
      <c r="F538" s="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9"/>
      <c r="S538" s="48"/>
      <c r="T538" s="1"/>
      <c r="U538" s="1"/>
      <c r="V538" s="1"/>
      <c r="W538" s="1"/>
      <c r="X538" s="1"/>
      <c r="Y538" s="1"/>
      <c r="Z538" s="1"/>
      <c r="AA538" s="1"/>
    </row>
    <row r="539" ht="12.75" customHeight="1">
      <c r="A539" s="1"/>
      <c r="B539" s="2"/>
      <c r="C539" s="3"/>
      <c r="D539" s="1"/>
      <c r="E539" s="3"/>
      <c r="F539" s="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9"/>
      <c r="S539" s="48"/>
      <c r="T539" s="1"/>
      <c r="U539" s="1"/>
      <c r="V539" s="1"/>
      <c r="W539" s="1"/>
      <c r="X539" s="1"/>
      <c r="Y539" s="1"/>
      <c r="Z539" s="1"/>
      <c r="AA539" s="1"/>
    </row>
    <row r="540" ht="12.75" customHeight="1">
      <c r="A540" s="1"/>
      <c r="B540" s="2"/>
      <c r="C540" s="3"/>
      <c r="D540" s="1"/>
      <c r="E540" s="3"/>
      <c r="F540" s="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9"/>
      <c r="S540" s="48"/>
      <c r="T540" s="1"/>
      <c r="U540" s="1"/>
      <c r="V540" s="1"/>
      <c r="W540" s="1"/>
      <c r="X540" s="1"/>
      <c r="Y540" s="1"/>
      <c r="Z540" s="1"/>
      <c r="AA540" s="1"/>
    </row>
    <row r="541" ht="12.75" customHeight="1">
      <c r="A541" s="1"/>
      <c r="B541" s="2"/>
      <c r="C541" s="3"/>
      <c r="D541" s="1"/>
      <c r="E541" s="3"/>
      <c r="F541" s="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9"/>
      <c r="S541" s="48"/>
      <c r="T541" s="1"/>
      <c r="U541" s="1"/>
      <c r="V541" s="1"/>
      <c r="W541" s="1"/>
      <c r="X541" s="1"/>
      <c r="Y541" s="1"/>
      <c r="Z541" s="1"/>
      <c r="AA541" s="1"/>
    </row>
    <row r="542" ht="12.75" customHeight="1">
      <c r="A542" s="1"/>
      <c r="B542" s="2"/>
      <c r="C542" s="3"/>
      <c r="D542" s="1"/>
      <c r="E542" s="3"/>
      <c r="F542" s="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9"/>
      <c r="S542" s="48"/>
      <c r="T542" s="1"/>
      <c r="U542" s="1"/>
      <c r="V542" s="1"/>
      <c r="W542" s="1"/>
      <c r="X542" s="1"/>
      <c r="Y542" s="1"/>
      <c r="Z542" s="1"/>
      <c r="AA542" s="1"/>
    </row>
    <row r="543" ht="12.75" customHeight="1">
      <c r="A543" s="1"/>
      <c r="B543" s="2"/>
      <c r="C543" s="3"/>
      <c r="D543" s="1"/>
      <c r="E543" s="3"/>
      <c r="F543" s="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9"/>
      <c r="S543" s="48"/>
      <c r="T543" s="1"/>
      <c r="U543" s="1"/>
      <c r="V543" s="1"/>
      <c r="W543" s="1"/>
      <c r="X543" s="1"/>
      <c r="Y543" s="1"/>
      <c r="Z543" s="1"/>
      <c r="AA543" s="1"/>
    </row>
    <row r="544" ht="12.75" customHeight="1">
      <c r="A544" s="1"/>
      <c r="B544" s="2"/>
      <c r="C544" s="3"/>
      <c r="D544" s="1"/>
      <c r="E544" s="3"/>
      <c r="F544" s="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9"/>
      <c r="S544" s="48"/>
      <c r="T544" s="1"/>
      <c r="U544" s="1"/>
      <c r="V544" s="1"/>
      <c r="W544" s="1"/>
      <c r="X544" s="1"/>
      <c r="Y544" s="1"/>
      <c r="Z544" s="1"/>
      <c r="AA544" s="1"/>
    </row>
    <row r="545" ht="12.75" customHeight="1">
      <c r="A545" s="1"/>
      <c r="B545" s="2"/>
      <c r="C545" s="3"/>
      <c r="D545" s="1"/>
      <c r="E545" s="3"/>
      <c r="F545" s="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9"/>
      <c r="S545" s="48"/>
      <c r="T545" s="1"/>
      <c r="U545" s="1"/>
      <c r="V545" s="1"/>
      <c r="W545" s="1"/>
      <c r="X545" s="1"/>
      <c r="Y545" s="1"/>
      <c r="Z545" s="1"/>
      <c r="AA545" s="1"/>
    </row>
    <row r="546" ht="12.75" customHeight="1">
      <c r="A546" s="1"/>
      <c r="B546" s="2"/>
      <c r="C546" s="3"/>
      <c r="D546" s="1"/>
      <c r="E546" s="3"/>
      <c r="F546" s="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9"/>
      <c r="S546" s="48"/>
      <c r="T546" s="1"/>
      <c r="U546" s="1"/>
      <c r="V546" s="1"/>
      <c r="W546" s="1"/>
      <c r="X546" s="1"/>
      <c r="Y546" s="1"/>
      <c r="Z546" s="1"/>
      <c r="AA546" s="1"/>
    </row>
    <row r="547" ht="12.75" customHeight="1">
      <c r="A547" s="1"/>
      <c r="B547" s="2"/>
      <c r="C547" s="3"/>
      <c r="D547" s="1"/>
      <c r="E547" s="3"/>
      <c r="F547" s="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9"/>
      <c r="S547" s="48"/>
      <c r="T547" s="1"/>
      <c r="U547" s="1"/>
      <c r="V547" s="1"/>
      <c r="W547" s="1"/>
      <c r="X547" s="1"/>
      <c r="Y547" s="1"/>
      <c r="Z547" s="1"/>
      <c r="AA547" s="1"/>
    </row>
    <row r="548" ht="12.75" customHeight="1">
      <c r="A548" s="1"/>
      <c r="B548" s="2"/>
      <c r="C548" s="3"/>
      <c r="D548" s="1"/>
      <c r="E548" s="3"/>
      <c r="F548" s="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9"/>
      <c r="S548" s="48"/>
      <c r="T548" s="1"/>
      <c r="U548" s="1"/>
      <c r="V548" s="1"/>
      <c r="W548" s="1"/>
      <c r="X548" s="1"/>
      <c r="Y548" s="1"/>
      <c r="Z548" s="1"/>
      <c r="AA548" s="1"/>
    </row>
    <row r="549" ht="12.75" customHeight="1">
      <c r="A549" s="1"/>
      <c r="B549" s="2"/>
      <c r="C549" s="3"/>
      <c r="D549" s="1"/>
      <c r="E549" s="3"/>
      <c r="F549" s="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9"/>
      <c r="S549" s="48"/>
      <c r="T549" s="1"/>
      <c r="U549" s="1"/>
      <c r="V549" s="1"/>
      <c r="W549" s="1"/>
      <c r="X549" s="1"/>
      <c r="Y549" s="1"/>
      <c r="Z549" s="1"/>
      <c r="AA549" s="1"/>
    </row>
    <row r="550" ht="12.75" customHeight="1">
      <c r="A550" s="1"/>
      <c r="B550" s="2"/>
      <c r="C550" s="3"/>
      <c r="D550" s="1"/>
      <c r="E550" s="3"/>
      <c r="F550" s="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9"/>
      <c r="S550" s="48"/>
      <c r="T550" s="1"/>
      <c r="U550" s="1"/>
      <c r="V550" s="1"/>
      <c r="W550" s="1"/>
      <c r="X550" s="1"/>
      <c r="Y550" s="1"/>
      <c r="Z550" s="1"/>
      <c r="AA550" s="1"/>
    </row>
    <row r="551" ht="12.75" customHeight="1">
      <c r="A551" s="1"/>
      <c r="B551" s="2"/>
      <c r="C551" s="3"/>
      <c r="D551" s="1"/>
      <c r="E551" s="3"/>
      <c r="F551" s="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9"/>
      <c r="S551" s="48"/>
      <c r="T551" s="1"/>
      <c r="U551" s="1"/>
      <c r="V551" s="1"/>
      <c r="W551" s="1"/>
      <c r="X551" s="1"/>
      <c r="Y551" s="1"/>
      <c r="Z551" s="1"/>
      <c r="AA551" s="1"/>
    </row>
    <row r="552" ht="12.75" customHeight="1">
      <c r="A552" s="1"/>
      <c r="B552" s="2"/>
      <c r="C552" s="3"/>
      <c r="D552" s="1"/>
      <c r="E552" s="3"/>
      <c r="F552" s="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9"/>
      <c r="S552" s="48"/>
      <c r="T552" s="1"/>
      <c r="U552" s="1"/>
      <c r="V552" s="1"/>
      <c r="W552" s="1"/>
      <c r="X552" s="1"/>
      <c r="Y552" s="1"/>
      <c r="Z552" s="1"/>
      <c r="AA552" s="1"/>
    </row>
    <row r="553" ht="12.75" customHeight="1">
      <c r="A553" s="1"/>
      <c r="B553" s="2"/>
      <c r="C553" s="3"/>
      <c r="D553" s="1"/>
      <c r="E553" s="3"/>
      <c r="F553" s="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9"/>
      <c r="S553" s="48"/>
      <c r="T553" s="1"/>
      <c r="U553" s="1"/>
      <c r="V553" s="1"/>
      <c r="W553" s="1"/>
      <c r="X553" s="1"/>
      <c r="Y553" s="1"/>
      <c r="Z553" s="1"/>
      <c r="AA553" s="1"/>
    </row>
    <row r="554" ht="12.75" customHeight="1">
      <c r="A554" s="1"/>
      <c r="B554" s="2"/>
      <c r="C554" s="3"/>
      <c r="D554" s="1"/>
      <c r="E554" s="3"/>
      <c r="F554" s="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9"/>
      <c r="S554" s="48"/>
      <c r="T554" s="1"/>
      <c r="U554" s="1"/>
      <c r="V554" s="1"/>
      <c r="W554" s="1"/>
      <c r="X554" s="1"/>
      <c r="Y554" s="1"/>
      <c r="Z554" s="1"/>
      <c r="AA554" s="1"/>
    </row>
    <row r="555" ht="12.75" customHeight="1">
      <c r="A555" s="1"/>
      <c r="B555" s="2"/>
      <c r="C555" s="3"/>
      <c r="D555" s="1"/>
      <c r="E555" s="3"/>
      <c r="F555" s="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9"/>
      <c r="S555" s="48"/>
      <c r="T555" s="1"/>
      <c r="U555" s="1"/>
      <c r="V555" s="1"/>
      <c r="W555" s="1"/>
      <c r="X555" s="1"/>
      <c r="Y555" s="1"/>
      <c r="Z555" s="1"/>
      <c r="AA555" s="1"/>
    </row>
    <row r="556" ht="12.75" customHeight="1">
      <c r="A556" s="1"/>
      <c r="B556" s="2"/>
      <c r="C556" s="3"/>
      <c r="D556" s="1"/>
      <c r="E556" s="3"/>
      <c r="F556" s="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9"/>
      <c r="S556" s="48"/>
      <c r="T556" s="1"/>
      <c r="U556" s="1"/>
      <c r="V556" s="1"/>
      <c r="W556" s="1"/>
      <c r="X556" s="1"/>
      <c r="Y556" s="1"/>
      <c r="Z556" s="1"/>
      <c r="AA556" s="1"/>
    </row>
    <row r="557" ht="12.75" customHeight="1">
      <c r="A557" s="1"/>
      <c r="B557" s="2"/>
      <c r="C557" s="3"/>
      <c r="D557" s="1"/>
      <c r="E557" s="3"/>
      <c r="F557" s="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9"/>
      <c r="S557" s="48"/>
      <c r="T557" s="1"/>
      <c r="U557" s="1"/>
      <c r="V557" s="1"/>
      <c r="W557" s="1"/>
      <c r="X557" s="1"/>
      <c r="Y557" s="1"/>
      <c r="Z557" s="1"/>
      <c r="AA557" s="1"/>
    </row>
    <row r="558" ht="12.75" customHeight="1">
      <c r="A558" s="1"/>
      <c r="B558" s="2"/>
      <c r="C558" s="3"/>
      <c r="D558" s="1"/>
      <c r="E558" s="3"/>
      <c r="F558" s="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9"/>
      <c r="S558" s="48"/>
      <c r="T558" s="1"/>
      <c r="U558" s="1"/>
      <c r="V558" s="1"/>
      <c r="W558" s="1"/>
      <c r="X558" s="1"/>
      <c r="Y558" s="1"/>
      <c r="Z558" s="1"/>
      <c r="AA558" s="1"/>
    </row>
    <row r="559" ht="12.75" customHeight="1">
      <c r="A559" s="1"/>
      <c r="B559" s="2"/>
      <c r="C559" s="3"/>
      <c r="D559" s="1"/>
      <c r="E559" s="3"/>
      <c r="F559" s="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9"/>
      <c r="S559" s="48"/>
      <c r="T559" s="1"/>
      <c r="U559" s="1"/>
      <c r="V559" s="1"/>
      <c r="W559" s="1"/>
      <c r="X559" s="1"/>
      <c r="Y559" s="1"/>
      <c r="Z559" s="1"/>
      <c r="AA559" s="1"/>
    </row>
    <row r="560" ht="12.75" customHeight="1">
      <c r="A560" s="1"/>
      <c r="B560" s="2"/>
      <c r="C560" s="3"/>
      <c r="D560" s="1"/>
      <c r="E560" s="3"/>
      <c r="F560" s="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9"/>
      <c r="S560" s="48"/>
      <c r="T560" s="1"/>
      <c r="U560" s="1"/>
      <c r="V560" s="1"/>
      <c r="W560" s="1"/>
      <c r="X560" s="1"/>
      <c r="Y560" s="1"/>
      <c r="Z560" s="1"/>
      <c r="AA560" s="1"/>
    </row>
    <row r="561" ht="12.75" customHeight="1">
      <c r="A561" s="1"/>
      <c r="B561" s="2"/>
      <c r="C561" s="3"/>
      <c r="D561" s="1"/>
      <c r="E561" s="3"/>
      <c r="F561" s="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9"/>
      <c r="S561" s="48"/>
      <c r="T561" s="1"/>
      <c r="U561" s="1"/>
      <c r="V561" s="1"/>
      <c r="W561" s="1"/>
      <c r="X561" s="1"/>
      <c r="Y561" s="1"/>
      <c r="Z561" s="1"/>
      <c r="AA561" s="1"/>
    </row>
    <row r="562" ht="12.75" customHeight="1">
      <c r="A562" s="1"/>
      <c r="B562" s="2"/>
      <c r="C562" s="3"/>
      <c r="D562" s="1"/>
      <c r="E562" s="3"/>
      <c r="F562" s="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9"/>
      <c r="S562" s="48"/>
      <c r="T562" s="1"/>
      <c r="U562" s="1"/>
      <c r="V562" s="1"/>
      <c r="W562" s="1"/>
      <c r="X562" s="1"/>
      <c r="Y562" s="1"/>
      <c r="Z562" s="1"/>
      <c r="AA562" s="1"/>
    </row>
    <row r="563" ht="12.75" customHeight="1">
      <c r="A563" s="1"/>
      <c r="B563" s="2"/>
      <c r="C563" s="3"/>
      <c r="D563" s="1"/>
      <c r="E563" s="3"/>
      <c r="F563" s="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9"/>
      <c r="S563" s="48"/>
      <c r="T563" s="1"/>
      <c r="U563" s="1"/>
      <c r="V563" s="1"/>
      <c r="W563" s="1"/>
      <c r="X563" s="1"/>
      <c r="Y563" s="1"/>
      <c r="Z563" s="1"/>
      <c r="AA563" s="1"/>
    </row>
    <row r="564" ht="12.75" customHeight="1">
      <c r="A564" s="1"/>
      <c r="B564" s="2"/>
      <c r="C564" s="3"/>
      <c r="D564" s="1"/>
      <c r="E564" s="3"/>
      <c r="F564" s="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9"/>
      <c r="S564" s="48"/>
      <c r="T564" s="1"/>
      <c r="U564" s="1"/>
      <c r="V564" s="1"/>
      <c r="W564" s="1"/>
      <c r="X564" s="1"/>
      <c r="Y564" s="1"/>
      <c r="Z564" s="1"/>
      <c r="AA564" s="1"/>
    </row>
    <row r="565" ht="12.75" customHeight="1">
      <c r="A565" s="1"/>
      <c r="B565" s="2"/>
      <c r="C565" s="3"/>
      <c r="D565" s="1"/>
      <c r="E565" s="3"/>
      <c r="F565" s="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9"/>
      <c r="S565" s="48"/>
      <c r="T565" s="1"/>
      <c r="U565" s="1"/>
      <c r="V565" s="1"/>
      <c r="W565" s="1"/>
      <c r="X565" s="1"/>
      <c r="Y565" s="1"/>
      <c r="Z565" s="1"/>
      <c r="AA565" s="1"/>
    </row>
    <row r="566" ht="12.75" customHeight="1">
      <c r="A566" s="1"/>
      <c r="B566" s="2"/>
      <c r="C566" s="3"/>
      <c r="D566" s="1"/>
      <c r="E566" s="3"/>
      <c r="F566" s="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9"/>
      <c r="S566" s="48"/>
      <c r="T566" s="1"/>
      <c r="U566" s="1"/>
      <c r="V566" s="1"/>
      <c r="W566" s="1"/>
      <c r="X566" s="1"/>
      <c r="Y566" s="1"/>
      <c r="Z566" s="1"/>
      <c r="AA566" s="1"/>
    </row>
    <row r="567" ht="12.75" customHeight="1">
      <c r="A567" s="1"/>
      <c r="B567" s="2"/>
      <c r="C567" s="3"/>
      <c r="D567" s="1"/>
      <c r="E567" s="3"/>
      <c r="F567" s="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9"/>
      <c r="S567" s="48"/>
      <c r="T567" s="1"/>
      <c r="U567" s="1"/>
      <c r="V567" s="1"/>
      <c r="W567" s="1"/>
      <c r="X567" s="1"/>
      <c r="Y567" s="1"/>
      <c r="Z567" s="1"/>
      <c r="AA567" s="1"/>
    </row>
    <row r="568" ht="12.75" customHeight="1">
      <c r="A568" s="1"/>
      <c r="B568" s="2"/>
      <c r="C568" s="3"/>
      <c r="D568" s="1"/>
      <c r="E568" s="3"/>
      <c r="F568" s="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9"/>
      <c r="S568" s="48"/>
      <c r="T568" s="1"/>
      <c r="U568" s="1"/>
      <c r="V568" s="1"/>
      <c r="W568" s="1"/>
      <c r="X568" s="1"/>
      <c r="Y568" s="1"/>
      <c r="Z568" s="1"/>
      <c r="AA568" s="1"/>
    </row>
    <row r="569" ht="12.75" customHeight="1">
      <c r="A569" s="1"/>
      <c r="B569" s="2"/>
      <c r="C569" s="3"/>
      <c r="D569" s="1"/>
      <c r="E569" s="3"/>
      <c r="F569" s="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9"/>
      <c r="S569" s="48"/>
      <c r="T569" s="1"/>
      <c r="U569" s="1"/>
      <c r="V569" s="1"/>
      <c r="W569" s="1"/>
      <c r="X569" s="1"/>
      <c r="Y569" s="1"/>
      <c r="Z569" s="1"/>
      <c r="AA569" s="1"/>
    </row>
    <row r="570" ht="12.75" customHeight="1">
      <c r="A570" s="1"/>
      <c r="B570" s="2"/>
      <c r="C570" s="3"/>
      <c r="D570" s="1"/>
      <c r="E570" s="3"/>
      <c r="F570" s="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9"/>
      <c r="S570" s="48"/>
      <c r="T570" s="1"/>
      <c r="U570" s="1"/>
      <c r="V570" s="1"/>
      <c r="W570" s="1"/>
      <c r="X570" s="1"/>
      <c r="Y570" s="1"/>
      <c r="Z570" s="1"/>
      <c r="AA570" s="1"/>
    </row>
    <row r="571" ht="12.75" customHeight="1">
      <c r="A571" s="1"/>
      <c r="B571" s="2"/>
      <c r="C571" s="3"/>
      <c r="D571" s="1"/>
      <c r="E571" s="3"/>
      <c r="F571" s="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9"/>
      <c r="S571" s="48"/>
      <c r="T571" s="1"/>
      <c r="U571" s="1"/>
      <c r="V571" s="1"/>
      <c r="W571" s="1"/>
      <c r="X571" s="1"/>
      <c r="Y571" s="1"/>
      <c r="Z571" s="1"/>
      <c r="AA571" s="1"/>
    </row>
    <row r="572" ht="12.75" customHeight="1">
      <c r="A572" s="1"/>
      <c r="B572" s="2"/>
      <c r="C572" s="3"/>
      <c r="D572" s="1"/>
      <c r="E572" s="3"/>
      <c r="F572" s="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9"/>
      <c r="S572" s="48"/>
      <c r="T572" s="1"/>
      <c r="U572" s="1"/>
      <c r="V572" s="1"/>
      <c r="W572" s="1"/>
      <c r="X572" s="1"/>
      <c r="Y572" s="1"/>
      <c r="Z572" s="1"/>
      <c r="AA572" s="1"/>
    </row>
    <row r="573" ht="12.75" customHeight="1">
      <c r="A573" s="1"/>
      <c r="B573" s="2"/>
      <c r="C573" s="3"/>
      <c r="D573" s="1"/>
      <c r="E573" s="3"/>
      <c r="F573" s="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9"/>
      <c r="S573" s="48"/>
      <c r="T573" s="1"/>
      <c r="U573" s="1"/>
      <c r="V573" s="1"/>
      <c r="W573" s="1"/>
      <c r="X573" s="1"/>
      <c r="Y573" s="1"/>
      <c r="Z573" s="1"/>
      <c r="AA573" s="1"/>
    </row>
    <row r="574" ht="12.75" customHeight="1">
      <c r="A574" s="1"/>
      <c r="B574" s="2"/>
      <c r="C574" s="3"/>
      <c r="D574" s="1"/>
      <c r="E574" s="3"/>
      <c r="F574" s="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9"/>
      <c r="S574" s="48"/>
      <c r="T574" s="1"/>
      <c r="U574" s="1"/>
      <c r="V574" s="1"/>
      <c r="W574" s="1"/>
      <c r="X574" s="1"/>
      <c r="Y574" s="1"/>
      <c r="Z574" s="1"/>
      <c r="AA574" s="1"/>
    </row>
    <row r="575" ht="12.75" customHeight="1">
      <c r="A575" s="1"/>
      <c r="B575" s="2"/>
      <c r="C575" s="3"/>
      <c r="D575" s="1"/>
      <c r="E575" s="3"/>
      <c r="F575" s="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9"/>
      <c r="S575" s="48"/>
      <c r="T575" s="1"/>
      <c r="U575" s="1"/>
      <c r="V575" s="1"/>
      <c r="W575" s="1"/>
      <c r="X575" s="1"/>
      <c r="Y575" s="1"/>
      <c r="Z575" s="1"/>
      <c r="AA575" s="1"/>
    </row>
    <row r="576" ht="12.75" customHeight="1">
      <c r="A576" s="1"/>
      <c r="B576" s="2"/>
      <c r="C576" s="3"/>
      <c r="D576" s="1"/>
      <c r="E576" s="3"/>
      <c r="F576" s="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9"/>
      <c r="S576" s="48"/>
      <c r="T576" s="1"/>
      <c r="U576" s="1"/>
      <c r="V576" s="1"/>
      <c r="W576" s="1"/>
      <c r="X576" s="1"/>
      <c r="Y576" s="1"/>
      <c r="Z576" s="1"/>
      <c r="AA576" s="1"/>
    </row>
    <row r="577" ht="12.75" customHeight="1">
      <c r="A577" s="1"/>
      <c r="B577" s="2"/>
      <c r="C577" s="3"/>
      <c r="D577" s="1"/>
      <c r="E577" s="3"/>
      <c r="F577" s="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9"/>
      <c r="S577" s="48"/>
      <c r="T577" s="1"/>
      <c r="U577" s="1"/>
      <c r="V577" s="1"/>
      <c r="W577" s="1"/>
      <c r="X577" s="1"/>
      <c r="Y577" s="1"/>
      <c r="Z577" s="1"/>
      <c r="AA577" s="1"/>
    </row>
    <row r="578" ht="12.75" customHeight="1">
      <c r="A578" s="1"/>
      <c r="B578" s="2"/>
      <c r="C578" s="3"/>
      <c r="D578" s="1"/>
      <c r="E578" s="3"/>
      <c r="F578" s="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9"/>
      <c r="S578" s="48"/>
      <c r="T578" s="1"/>
      <c r="U578" s="1"/>
      <c r="V578" s="1"/>
      <c r="W578" s="1"/>
      <c r="X578" s="1"/>
      <c r="Y578" s="1"/>
      <c r="Z578" s="1"/>
      <c r="AA578" s="1"/>
    </row>
    <row r="579" ht="12.75" customHeight="1">
      <c r="A579" s="1"/>
      <c r="B579" s="2"/>
      <c r="C579" s="3"/>
      <c r="D579" s="1"/>
      <c r="E579" s="3"/>
      <c r="F579" s="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9"/>
      <c r="S579" s="48"/>
      <c r="T579" s="1"/>
      <c r="U579" s="1"/>
      <c r="V579" s="1"/>
      <c r="W579" s="1"/>
      <c r="X579" s="1"/>
      <c r="Y579" s="1"/>
      <c r="Z579" s="1"/>
      <c r="AA579" s="1"/>
    </row>
    <row r="580" ht="12.75" customHeight="1">
      <c r="A580" s="1"/>
      <c r="B580" s="2"/>
      <c r="C580" s="3"/>
      <c r="D580" s="1"/>
      <c r="E580" s="3"/>
      <c r="F580" s="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9"/>
      <c r="S580" s="48"/>
      <c r="T580" s="1"/>
      <c r="U580" s="1"/>
      <c r="V580" s="1"/>
      <c r="W580" s="1"/>
      <c r="X580" s="1"/>
      <c r="Y580" s="1"/>
      <c r="Z580" s="1"/>
      <c r="AA580" s="1"/>
    </row>
    <row r="581" ht="12.75" customHeight="1">
      <c r="A581" s="1"/>
      <c r="B581" s="2"/>
      <c r="C581" s="3"/>
      <c r="D581" s="1"/>
      <c r="E581" s="3"/>
      <c r="F581" s="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9"/>
      <c r="S581" s="48"/>
      <c r="T581" s="1"/>
      <c r="U581" s="1"/>
      <c r="V581" s="1"/>
      <c r="W581" s="1"/>
      <c r="X581" s="1"/>
      <c r="Y581" s="1"/>
      <c r="Z581" s="1"/>
      <c r="AA581" s="1"/>
    </row>
    <row r="582" ht="12.75" customHeight="1">
      <c r="A582" s="1"/>
      <c r="B582" s="2"/>
      <c r="C582" s="3"/>
      <c r="D582" s="1"/>
      <c r="E582" s="3"/>
      <c r="F582" s="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9"/>
      <c r="S582" s="48"/>
      <c r="T582" s="1"/>
      <c r="U582" s="1"/>
      <c r="V582" s="1"/>
      <c r="W582" s="1"/>
      <c r="X582" s="1"/>
      <c r="Y582" s="1"/>
      <c r="Z582" s="1"/>
      <c r="AA582" s="1"/>
    </row>
    <row r="583" ht="12.75" customHeight="1">
      <c r="A583" s="1"/>
      <c r="B583" s="2"/>
      <c r="C583" s="3"/>
      <c r="D583" s="1"/>
      <c r="E583" s="3"/>
      <c r="F583" s="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9"/>
      <c r="S583" s="48"/>
      <c r="T583" s="1"/>
      <c r="U583" s="1"/>
      <c r="V583" s="1"/>
      <c r="W583" s="1"/>
      <c r="X583" s="1"/>
      <c r="Y583" s="1"/>
      <c r="Z583" s="1"/>
      <c r="AA583" s="1"/>
    </row>
    <row r="584" ht="12.75" customHeight="1">
      <c r="A584" s="1"/>
      <c r="B584" s="2"/>
      <c r="C584" s="3"/>
      <c r="D584" s="1"/>
      <c r="E584" s="3"/>
      <c r="F584" s="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9"/>
      <c r="S584" s="48"/>
      <c r="T584" s="1"/>
      <c r="U584" s="1"/>
      <c r="V584" s="1"/>
      <c r="W584" s="1"/>
      <c r="X584" s="1"/>
      <c r="Y584" s="1"/>
      <c r="Z584" s="1"/>
      <c r="AA584" s="1"/>
    </row>
    <row r="585" ht="12.75" customHeight="1">
      <c r="A585" s="1"/>
      <c r="B585" s="2"/>
      <c r="C585" s="3"/>
      <c r="D585" s="1"/>
      <c r="E585" s="3"/>
      <c r="F585" s="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9"/>
      <c r="S585" s="48"/>
      <c r="T585" s="1"/>
      <c r="U585" s="1"/>
      <c r="V585" s="1"/>
      <c r="W585" s="1"/>
      <c r="X585" s="1"/>
      <c r="Y585" s="1"/>
      <c r="Z585" s="1"/>
      <c r="AA585" s="1"/>
    </row>
    <row r="586" ht="12.75" customHeight="1">
      <c r="A586" s="1"/>
      <c r="B586" s="2"/>
      <c r="C586" s="3"/>
      <c r="D586" s="1"/>
      <c r="E586" s="3"/>
      <c r="F586" s="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9"/>
      <c r="S586" s="48"/>
      <c r="T586" s="1"/>
      <c r="U586" s="1"/>
      <c r="V586" s="1"/>
      <c r="W586" s="1"/>
      <c r="X586" s="1"/>
      <c r="Y586" s="1"/>
      <c r="Z586" s="1"/>
      <c r="AA586" s="1"/>
    </row>
    <row r="587" ht="12.75" customHeight="1">
      <c r="A587" s="1"/>
      <c r="B587" s="2"/>
      <c r="C587" s="3"/>
      <c r="D587" s="1"/>
      <c r="E587" s="3"/>
      <c r="F587" s="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9"/>
      <c r="S587" s="48"/>
      <c r="T587" s="1"/>
      <c r="U587" s="1"/>
      <c r="V587" s="1"/>
      <c r="W587" s="1"/>
      <c r="X587" s="1"/>
      <c r="Y587" s="1"/>
      <c r="Z587" s="1"/>
      <c r="AA587" s="1"/>
    </row>
    <row r="588" ht="12.75" customHeight="1">
      <c r="A588" s="1"/>
      <c r="B588" s="2"/>
      <c r="C588" s="3"/>
      <c r="D588" s="1"/>
      <c r="E588" s="3"/>
      <c r="F588" s="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9"/>
      <c r="S588" s="48"/>
      <c r="T588" s="1"/>
      <c r="U588" s="1"/>
      <c r="V588" s="1"/>
      <c r="W588" s="1"/>
      <c r="X588" s="1"/>
      <c r="Y588" s="1"/>
      <c r="Z588" s="1"/>
      <c r="AA588" s="1"/>
    </row>
    <row r="589" ht="12.75" customHeight="1">
      <c r="A589" s="1"/>
      <c r="B589" s="2"/>
      <c r="C589" s="3"/>
      <c r="D589" s="1"/>
      <c r="E589" s="3"/>
      <c r="F589" s="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9"/>
      <c r="S589" s="48"/>
      <c r="T589" s="1"/>
      <c r="U589" s="1"/>
      <c r="V589" s="1"/>
      <c r="W589" s="1"/>
      <c r="X589" s="1"/>
      <c r="Y589" s="1"/>
      <c r="Z589" s="1"/>
      <c r="AA589" s="1"/>
    </row>
    <row r="590" ht="12.75" customHeight="1">
      <c r="A590" s="1"/>
      <c r="B590" s="2"/>
      <c r="C590" s="3"/>
      <c r="D590" s="1"/>
      <c r="E590" s="3"/>
      <c r="F590" s="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9"/>
      <c r="S590" s="48"/>
      <c r="T590" s="1"/>
      <c r="U590" s="1"/>
      <c r="V590" s="1"/>
      <c r="W590" s="1"/>
      <c r="X590" s="1"/>
      <c r="Y590" s="1"/>
      <c r="Z590" s="1"/>
      <c r="AA590" s="1"/>
    </row>
    <row r="591" ht="12.75" customHeight="1">
      <c r="A591" s="1"/>
      <c r="B591" s="2"/>
      <c r="C591" s="3"/>
      <c r="D591" s="1"/>
      <c r="E591" s="3"/>
      <c r="F591" s="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9"/>
      <c r="S591" s="48"/>
      <c r="T591" s="1"/>
      <c r="U591" s="1"/>
      <c r="V591" s="1"/>
      <c r="W591" s="1"/>
      <c r="X591" s="1"/>
      <c r="Y591" s="1"/>
      <c r="Z591" s="1"/>
      <c r="AA591" s="1"/>
    </row>
    <row r="592" ht="12.75" customHeight="1">
      <c r="A592" s="1"/>
      <c r="B592" s="2"/>
      <c r="C592" s="3"/>
      <c r="D592" s="1"/>
      <c r="E592" s="3"/>
      <c r="F592" s="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9"/>
      <c r="S592" s="48"/>
      <c r="T592" s="1"/>
      <c r="U592" s="1"/>
      <c r="V592" s="1"/>
      <c r="W592" s="1"/>
      <c r="X592" s="1"/>
      <c r="Y592" s="1"/>
      <c r="Z592" s="1"/>
      <c r="AA592" s="1"/>
    </row>
    <row r="593" ht="12.75" customHeight="1">
      <c r="A593" s="1"/>
      <c r="B593" s="2"/>
      <c r="C593" s="3"/>
      <c r="D593" s="1"/>
      <c r="E593" s="3"/>
      <c r="F593" s="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9"/>
      <c r="S593" s="48"/>
      <c r="T593" s="1"/>
      <c r="U593" s="1"/>
      <c r="V593" s="1"/>
      <c r="W593" s="1"/>
      <c r="X593" s="1"/>
      <c r="Y593" s="1"/>
      <c r="Z593" s="1"/>
      <c r="AA593" s="1"/>
    </row>
    <row r="594" ht="12.75" customHeight="1">
      <c r="A594" s="1"/>
      <c r="B594" s="2"/>
      <c r="C594" s="3"/>
      <c r="D594" s="1"/>
      <c r="E594" s="3"/>
      <c r="F594" s="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9"/>
      <c r="S594" s="48"/>
      <c r="T594" s="1"/>
      <c r="U594" s="1"/>
      <c r="V594" s="1"/>
      <c r="W594" s="1"/>
      <c r="X594" s="1"/>
      <c r="Y594" s="1"/>
      <c r="Z594" s="1"/>
      <c r="AA594" s="1"/>
    </row>
    <row r="595" ht="12.75" customHeight="1">
      <c r="A595" s="1"/>
      <c r="B595" s="2"/>
      <c r="C595" s="3"/>
      <c r="D595" s="1"/>
      <c r="E595" s="3"/>
      <c r="F595" s="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9"/>
      <c r="S595" s="48"/>
      <c r="T595" s="1"/>
      <c r="U595" s="1"/>
      <c r="V595" s="1"/>
      <c r="W595" s="1"/>
      <c r="X595" s="1"/>
      <c r="Y595" s="1"/>
      <c r="Z595" s="1"/>
      <c r="AA595" s="1"/>
    </row>
    <row r="596" ht="12.75" customHeight="1">
      <c r="A596" s="1"/>
      <c r="B596" s="2"/>
      <c r="C596" s="3"/>
      <c r="D596" s="1"/>
      <c r="E596" s="3"/>
      <c r="F596" s="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9"/>
      <c r="S596" s="48"/>
      <c r="T596" s="1"/>
      <c r="U596" s="1"/>
      <c r="V596" s="1"/>
      <c r="W596" s="1"/>
      <c r="X596" s="1"/>
      <c r="Y596" s="1"/>
      <c r="Z596" s="1"/>
      <c r="AA596" s="1"/>
    </row>
    <row r="597" ht="12.75" customHeight="1">
      <c r="A597" s="1"/>
      <c r="B597" s="2"/>
      <c r="C597" s="3"/>
      <c r="D597" s="1"/>
      <c r="E597" s="3"/>
      <c r="F597" s="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9"/>
      <c r="S597" s="48"/>
      <c r="T597" s="1"/>
      <c r="U597" s="1"/>
      <c r="V597" s="1"/>
      <c r="W597" s="1"/>
      <c r="X597" s="1"/>
      <c r="Y597" s="1"/>
      <c r="Z597" s="1"/>
      <c r="AA597" s="1"/>
    </row>
    <row r="598" ht="12.75" customHeight="1">
      <c r="A598" s="1"/>
      <c r="B598" s="2"/>
      <c r="C598" s="3"/>
      <c r="D598" s="1"/>
      <c r="E598" s="3"/>
      <c r="F598" s="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9"/>
      <c r="S598" s="48"/>
      <c r="T598" s="1"/>
      <c r="U598" s="1"/>
      <c r="V598" s="1"/>
      <c r="W598" s="1"/>
      <c r="X598" s="1"/>
      <c r="Y598" s="1"/>
      <c r="Z598" s="1"/>
      <c r="AA598" s="1"/>
    </row>
    <row r="599" ht="12.75" customHeight="1">
      <c r="A599" s="1"/>
      <c r="B599" s="2"/>
      <c r="C599" s="3"/>
      <c r="D599" s="1"/>
      <c r="E599" s="3"/>
      <c r="F599" s="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9"/>
      <c r="S599" s="48"/>
      <c r="T599" s="1"/>
      <c r="U599" s="1"/>
      <c r="V599" s="1"/>
      <c r="W599" s="1"/>
      <c r="X599" s="1"/>
      <c r="Y599" s="1"/>
      <c r="Z599" s="1"/>
      <c r="AA599" s="1"/>
    </row>
    <row r="600" ht="12.75" customHeight="1">
      <c r="A600" s="1"/>
      <c r="B600" s="2"/>
      <c r="C600" s="3"/>
      <c r="D600" s="1"/>
      <c r="E600" s="3"/>
      <c r="F600" s="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9"/>
      <c r="S600" s="48"/>
      <c r="T600" s="1"/>
      <c r="U600" s="1"/>
      <c r="V600" s="1"/>
      <c r="W600" s="1"/>
      <c r="X600" s="1"/>
      <c r="Y600" s="1"/>
      <c r="Z600" s="1"/>
      <c r="AA600" s="1"/>
    </row>
    <row r="601" ht="12.75" customHeight="1">
      <c r="A601" s="1"/>
      <c r="B601" s="2"/>
      <c r="C601" s="3"/>
      <c r="D601" s="1"/>
      <c r="E601" s="3"/>
      <c r="F601" s="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9"/>
      <c r="S601" s="48"/>
      <c r="T601" s="1"/>
      <c r="U601" s="1"/>
      <c r="V601" s="1"/>
      <c r="W601" s="1"/>
      <c r="X601" s="1"/>
      <c r="Y601" s="1"/>
      <c r="Z601" s="1"/>
      <c r="AA601" s="1"/>
    </row>
    <row r="602" ht="12.75" customHeight="1">
      <c r="A602" s="1"/>
      <c r="B602" s="2"/>
      <c r="C602" s="3"/>
      <c r="D602" s="1"/>
      <c r="E602" s="3"/>
      <c r="F602" s="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9"/>
      <c r="S602" s="48"/>
      <c r="T602" s="1"/>
      <c r="U602" s="1"/>
      <c r="V602" s="1"/>
      <c r="W602" s="1"/>
      <c r="X602" s="1"/>
      <c r="Y602" s="1"/>
      <c r="Z602" s="1"/>
      <c r="AA602" s="1"/>
    </row>
    <row r="603" ht="12.75" customHeight="1">
      <c r="A603" s="1"/>
      <c r="B603" s="2"/>
      <c r="C603" s="3"/>
      <c r="D603" s="1"/>
      <c r="E603" s="3"/>
      <c r="F603" s="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9"/>
      <c r="S603" s="48"/>
      <c r="T603" s="1"/>
      <c r="U603" s="1"/>
      <c r="V603" s="1"/>
      <c r="W603" s="1"/>
      <c r="X603" s="1"/>
      <c r="Y603" s="1"/>
      <c r="Z603" s="1"/>
      <c r="AA603" s="1"/>
    </row>
    <row r="604" ht="12.75" customHeight="1">
      <c r="A604" s="1"/>
      <c r="B604" s="2"/>
      <c r="C604" s="3"/>
      <c r="D604" s="1"/>
      <c r="E604" s="3"/>
      <c r="F604" s="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9"/>
      <c r="S604" s="48"/>
      <c r="T604" s="1"/>
      <c r="U604" s="1"/>
      <c r="V604" s="1"/>
      <c r="W604" s="1"/>
      <c r="X604" s="1"/>
      <c r="Y604" s="1"/>
      <c r="Z604" s="1"/>
      <c r="AA604" s="1"/>
    </row>
    <row r="605" ht="12.75" customHeight="1">
      <c r="A605" s="1"/>
      <c r="B605" s="2"/>
      <c r="C605" s="3"/>
      <c r="D605" s="1"/>
      <c r="E605" s="3"/>
      <c r="F605" s="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9"/>
      <c r="S605" s="48"/>
      <c r="T605" s="1"/>
      <c r="U605" s="1"/>
      <c r="V605" s="1"/>
      <c r="W605" s="1"/>
      <c r="X605" s="1"/>
      <c r="Y605" s="1"/>
      <c r="Z605" s="1"/>
      <c r="AA605" s="1"/>
    </row>
    <row r="606" ht="12.75" customHeight="1">
      <c r="A606" s="1"/>
      <c r="B606" s="2"/>
      <c r="C606" s="3"/>
      <c r="D606" s="1"/>
      <c r="E606" s="3"/>
      <c r="F606" s="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9"/>
      <c r="S606" s="48"/>
      <c r="T606" s="1"/>
      <c r="U606" s="1"/>
      <c r="V606" s="1"/>
      <c r="W606" s="1"/>
      <c r="X606" s="1"/>
      <c r="Y606" s="1"/>
      <c r="Z606" s="1"/>
      <c r="AA606" s="1"/>
    </row>
    <row r="607" ht="12.75" customHeight="1">
      <c r="A607" s="1"/>
      <c r="B607" s="2"/>
      <c r="C607" s="3"/>
      <c r="D607" s="1"/>
      <c r="E607" s="3"/>
      <c r="F607" s="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9"/>
      <c r="S607" s="48"/>
      <c r="T607" s="1"/>
      <c r="U607" s="1"/>
      <c r="V607" s="1"/>
      <c r="W607" s="1"/>
      <c r="X607" s="1"/>
      <c r="Y607" s="1"/>
      <c r="Z607" s="1"/>
      <c r="AA607" s="1"/>
    </row>
    <row r="608" ht="12.75" customHeight="1">
      <c r="A608" s="1"/>
      <c r="B608" s="2"/>
      <c r="C608" s="3"/>
      <c r="D608" s="1"/>
      <c r="E608" s="3"/>
      <c r="F608" s="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9"/>
      <c r="S608" s="48"/>
      <c r="T608" s="1"/>
      <c r="U608" s="1"/>
      <c r="V608" s="1"/>
      <c r="W608" s="1"/>
      <c r="X608" s="1"/>
      <c r="Y608" s="1"/>
      <c r="Z608" s="1"/>
      <c r="AA608" s="1"/>
    </row>
    <row r="609" ht="12.75" customHeight="1">
      <c r="A609" s="1"/>
      <c r="B609" s="2"/>
      <c r="C609" s="3"/>
      <c r="D609" s="1"/>
      <c r="E609" s="3"/>
      <c r="F609" s="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9"/>
      <c r="S609" s="48"/>
      <c r="T609" s="1"/>
      <c r="U609" s="1"/>
      <c r="V609" s="1"/>
      <c r="W609" s="1"/>
      <c r="X609" s="1"/>
      <c r="Y609" s="1"/>
      <c r="Z609" s="1"/>
      <c r="AA609" s="1"/>
    </row>
    <row r="610" ht="12.75" customHeight="1">
      <c r="A610" s="1"/>
      <c r="B610" s="2"/>
      <c r="C610" s="3"/>
      <c r="D610" s="1"/>
      <c r="E610" s="3"/>
      <c r="F610" s="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9"/>
      <c r="S610" s="48"/>
      <c r="T610" s="1"/>
      <c r="U610" s="1"/>
      <c r="V610" s="1"/>
      <c r="W610" s="1"/>
      <c r="X610" s="1"/>
      <c r="Y610" s="1"/>
      <c r="Z610" s="1"/>
      <c r="AA610" s="1"/>
    </row>
    <row r="611" ht="12.75" customHeight="1">
      <c r="A611" s="1"/>
      <c r="B611" s="2"/>
      <c r="C611" s="3"/>
      <c r="D611" s="1"/>
      <c r="E611" s="3"/>
      <c r="F611" s="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9"/>
      <c r="S611" s="48"/>
      <c r="T611" s="1"/>
      <c r="U611" s="1"/>
      <c r="V611" s="1"/>
      <c r="W611" s="1"/>
      <c r="X611" s="1"/>
      <c r="Y611" s="1"/>
      <c r="Z611" s="1"/>
      <c r="AA611" s="1"/>
    </row>
    <row r="612" ht="12.75" customHeight="1">
      <c r="A612" s="1"/>
      <c r="B612" s="2"/>
      <c r="C612" s="3"/>
      <c r="D612" s="1"/>
      <c r="E612" s="3"/>
      <c r="F612" s="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9"/>
      <c r="S612" s="48"/>
      <c r="T612" s="1"/>
      <c r="U612" s="1"/>
      <c r="V612" s="1"/>
      <c r="W612" s="1"/>
      <c r="X612" s="1"/>
      <c r="Y612" s="1"/>
      <c r="Z612" s="1"/>
      <c r="AA612" s="1"/>
    </row>
    <row r="613" ht="12.75" customHeight="1">
      <c r="A613" s="1"/>
      <c r="B613" s="2"/>
      <c r="C613" s="3"/>
      <c r="D613" s="1"/>
      <c r="E613" s="3"/>
      <c r="F613" s="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9"/>
      <c r="S613" s="48"/>
      <c r="T613" s="1"/>
      <c r="U613" s="1"/>
      <c r="V613" s="1"/>
      <c r="W613" s="1"/>
      <c r="X613" s="1"/>
      <c r="Y613" s="1"/>
      <c r="Z613" s="1"/>
      <c r="AA613" s="1"/>
    </row>
    <row r="614" ht="12.75" customHeight="1">
      <c r="A614" s="1"/>
      <c r="B614" s="2"/>
      <c r="C614" s="3"/>
      <c r="D614" s="1"/>
      <c r="E614" s="3"/>
      <c r="F614" s="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9"/>
      <c r="S614" s="48"/>
      <c r="T614" s="1"/>
      <c r="U614" s="1"/>
      <c r="V614" s="1"/>
      <c r="W614" s="1"/>
      <c r="X614" s="1"/>
      <c r="Y614" s="1"/>
      <c r="Z614" s="1"/>
      <c r="AA614" s="1"/>
    </row>
    <row r="615" ht="12.75" customHeight="1">
      <c r="A615" s="1"/>
      <c r="B615" s="2"/>
      <c r="C615" s="3"/>
      <c r="D615" s="1"/>
      <c r="E615" s="3"/>
      <c r="F615" s="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9"/>
      <c r="S615" s="48"/>
      <c r="T615" s="1"/>
      <c r="U615" s="1"/>
      <c r="V615" s="1"/>
      <c r="W615" s="1"/>
      <c r="X615" s="1"/>
      <c r="Y615" s="1"/>
      <c r="Z615" s="1"/>
      <c r="AA615" s="1"/>
    </row>
    <row r="616" ht="12.75" customHeight="1">
      <c r="A616" s="1"/>
      <c r="B616" s="2"/>
      <c r="C616" s="3"/>
      <c r="D616" s="1"/>
      <c r="E616" s="3"/>
      <c r="F616" s="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9"/>
      <c r="S616" s="48"/>
      <c r="T616" s="1"/>
      <c r="U616" s="1"/>
      <c r="V616" s="1"/>
      <c r="W616" s="1"/>
      <c r="X616" s="1"/>
      <c r="Y616" s="1"/>
      <c r="Z616" s="1"/>
      <c r="AA616" s="1"/>
    </row>
    <row r="617" ht="12.75" customHeight="1">
      <c r="A617" s="1"/>
      <c r="B617" s="2"/>
      <c r="C617" s="3"/>
      <c r="D617" s="1"/>
      <c r="E617" s="3"/>
      <c r="F617" s="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9"/>
      <c r="S617" s="48"/>
      <c r="T617" s="1"/>
      <c r="U617" s="1"/>
      <c r="V617" s="1"/>
      <c r="W617" s="1"/>
      <c r="X617" s="1"/>
      <c r="Y617" s="1"/>
      <c r="Z617" s="1"/>
      <c r="AA617" s="1"/>
    </row>
    <row r="618" ht="12.75" customHeight="1">
      <c r="A618" s="1"/>
      <c r="B618" s="2"/>
      <c r="C618" s="3"/>
      <c r="D618" s="1"/>
      <c r="E618" s="3"/>
      <c r="F618" s="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9"/>
      <c r="S618" s="48"/>
      <c r="T618" s="1"/>
      <c r="U618" s="1"/>
      <c r="V618" s="1"/>
      <c r="W618" s="1"/>
      <c r="X618" s="1"/>
      <c r="Y618" s="1"/>
      <c r="Z618" s="1"/>
      <c r="AA618" s="1"/>
    </row>
    <row r="619" ht="12.75" customHeight="1">
      <c r="A619" s="1"/>
      <c r="B619" s="2"/>
      <c r="C619" s="3"/>
      <c r="D619" s="1"/>
      <c r="E619" s="3"/>
      <c r="F619" s="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9"/>
      <c r="S619" s="48"/>
      <c r="T619" s="1"/>
      <c r="U619" s="1"/>
      <c r="V619" s="1"/>
      <c r="W619" s="1"/>
      <c r="X619" s="1"/>
      <c r="Y619" s="1"/>
      <c r="Z619" s="1"/>
      <c r="AA619" s="1"/>
    </row>
    <row r="620" ht="12.75" customHeight="1">
      <c r="A620" s="1"/>
      <c r="B620" s="2"/>
      <c r="C620" s="3"/>
      <c r="D620" s="1"/>
      <c r="E620" s="3"/>
      <c r="F620" s="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9"/>
      <c r="S620" s="48"/>
      <c r="T620" s="1"/>
      <c r="U620" s="1"/>
      <c r="V620" s="1"/>
      <c r="W620" s="1"/>
      <c r="X620" s="1"/>
      <c r="Y620" s="1"/>
      <c r="Z620" s="1"/>
      <c r="AA620" s="1"/>
    </row>
    <row r="621" ht="12.75" customHeight="1">
      <c r="A621" s="1"/>
      <c r="B621" s="2"/>
      <c r="C621" s="3"/>
      <c r="D621" s="1"/>
      <c r="E621" s="3"/>
      <c r="F621" s="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9"/>
      <c r="S621" s="48"/>
      <c r="T621" s="1"/>
      <c r="U621" s="1"/>
      <c r="V621" s="1"/>
      <c r="W621" s="1"/>
      <c r="X621" s="1"/>
      <c r="Y621" s="1"/>
      <c r="Z621" s="1"/>
      <c r="AA621" s="1"/>
    </row>
    <row r="622" ht="12.75" customHeight="1">
      <c r="A622" s="1"/>
      <c r="B622" s="2"/>
      <c r="C622" s="3"/>
      <c r="D622" s="1"/>
      <c r="E622" s="3"/>
      <c r="F622" s="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9"/>
      <c r="S622" s="48"/>
      <c r="T622" s="1"/>
      <c r="U622" s="1"/>
      <c r="V622" s="1"/>
      <c r="W622" s="1"/>
      <c r="X622" s="1"/>
      <c r="Y622" s="1"/>
      <c r="Z622" s="1"/>
      <c r="AA622" s="1"/>
    </row>
    <row r="623" ht="12.75" customHeight="1">
      <c r="A623" s="1"/>
      <c r="B623" s="2"/>
      <c r="C623" s="3"/>
      <c r="D623" s="1"/>
      <c r="E623" s="3"/>
      <c r="F623" s="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9"/>
      <c r="S623" s="48"/>
      <c r="T623" s="1"/>
      <c r="U623" s="1"/>
      <c r="V623" s="1"/>
      <c r="W623" s="1"/>
      <c r="X623" s="1"/>
      <c r="Y623" s="1"/>
      <c r="Z623" s="1"/>
      <c r="AA623" s="1"/>
    </row>
    <row r="624" ht="12.75" customHeight="1">
      <c r="A624" s="1"/>
      <c r="B624" s="2"/>
      <c r="C624" s="3"/>
      <c r="D624" s="1"/>
      <c r="E624" s="3"/>
      <c r="F624" s="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9"/>
      <c r="S624" s="48"/>
      <c r="T624" s="1"/>
      <c r="U624" s="1"/>
      <c r="V624" s="1"/>
      <c r="W624" s="1"/>
      <c r="X624" s="1"/>
      <c r="Y624" s="1"/>
      <c r="Z624" s="1"/>
      <c r="AA624" s="1"/>
    </row>
    <row r="625" ht="12.75" customHeight="1">
      <c r="A625" s="1"/>
      <c r="B625" s="2"/>
      <c r="C625" s="3"/>
      <c r="D625" s="1"/>
      <c r="E625" s="3"/>
      <c r="F625" s="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9"/>
      <c r="S625" s="48"/>
      <c r="T625" s="1"/>
      <c r="U625" s="1"/>
      <c r="V625" s="1"/>
      <c r="W625" s="1"/>
      <c r="X625" s="1"/>
      <c r="Y625" s="1"/>
      <c r="Z625" s="1"/>
      <c r="AA625" s="1"/>
    </row>
    <row r="626" ht="12.75" customHeight="1">
      <c r="A626" s="1"/>
      <c r="B626" s="2"/>
      <c r="C626" s="3"/>
      <c r="D626" s="1"/>
      <c r="E626" s="3"/>
      <c r="F626" s="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9"/>
      <c r="S626" s="48"/>
      <c r="T626" s="1"/>
      <c r="U626" s="1"/>
      <c r="V626" s="1"/>
      <c r="W626" s="1"/>
      <c r="X626" s="1"/>
      <c r="Y626" s="1"/>
      <c r="Z626" s="1"/>
      <c r="AA626" s="1"/>
    </row>
    <row r="627" ht="12.75" customHeight="1">
      <c r="A627" s="1"/>
      <c r="B627" s="2"/>
      <c r="C627" s="3"/>
      <c r="D627" s="1"/>
      <c r="E627" s="3"/>
      <c r="F627" s="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9"/>
      <c r="S627" s="48"/>
      <c r="T627" s="1"/>
      <c r="U627" s="1"/>
      <c r="V627" s="1"/>
      <c r="W627" s="1"/>
      <c r="X627" s="1"/>
      <c r="Y627" s="1"/>
      <c r="Z627" s="1"/>
      <c r="AA627" s="1"/>
    </row>
    <row r="628" ht="12.75" customHeight="1">
      <c r="A628" s="1"/>
      <c r="B628" s="2"/>
      <c r="C628" s="3"/>
      <c r="D628" s="1"/>
      <c r="E628" s="3"/>
      <c r="F628" s="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9"/>
      <c r="S628" s="48"/>
      <c r="T628" s="1"/>
      <c r="U628" s="1"/>
      <c r="V628" s="1"/>
      <c r="W628" s="1"/>
      <c r="X628" s="1"/>
      <c r="Y628" s="1"/>
      <c r="Z628" s="1"/>
      <c r="AA628" s="1"/>
    </row>
    <row r="629" ht="12.75" customHeight="1">
      <c r="A629" s="1"/>
      <c r="B629" s="2"/>
      <c r="C629" s="3"/>
      <c r="D629" s="1"/>
      <c r="E629" s="3"/>
      <c r="F629" s="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9"/>
      <c r="S629" s="48"/>
      <c r="T629" s="1"/>
      <c r="U629" s="1"/>
      <c r="V629" s="1"/>
      <c r="W629" s="1"/>
      <c r="X629" s="1"/>
      <c r="Y629" s="1"/>
      <c r="Z629" s="1"/>
      <c r="AA629" s="1"/>
    </row>
    <row r="630" ht="12.75" customHeight="1">
      <c r="A630" s="1"/>
      <c r="B630" s="2"/>
      <c r="C630" s="3"/>
      <c r="D630" s="1"/>
      <c r="E630" s="3"/>
      <c r="F630" s="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9"/>
      <c r="S630" s="48"/>
      <c r="T630" s="1"/>
      <c r="U630" s="1"/>
      <c r="V630" s="1"/>
      <c r="W630" s="1"/>
      <c r="X630" s="1"/>
      <c r="Y630" s="1"/>
      <c r="Z630" s="1"/>
      <c r="AA630" s="1"/>
    </row>
    <row r="631" ht="12.75" customHeight="1">
      <c r="A631" s="1"/>
      <c r="B631" s="2"/>
      <c r="C631" s="3"/>
      <c r="D631" s="1"/>
      <c r="E631" s="3"/>
      <c r="F631" s="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9"/>
      <c r="S631" s="48"/>
      <c r="T631" s="1"/>
      <c r="U631" s="1"/>
      <c r="V631" s="1"/>
      <c r="W631" s="1"/>
      <c r="X631" s="1"/>
      <c r="Y631" s="1"/>
      <c r="Z631" s="1"/>
      <c r="AA631" s="1"/>
    </row>
    <row r="632" ht="12.75" customHeight="1">
      <c r="A632" s="1"/>
      <c r="B632" s="2"/>
      <c r="C632" s="3"/>
      <c r="D632" s="1"/>
      <c r="E632" s="3"/>
      <c r="F632" s="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9"/>
      <c r="S632" s="48"/>
      <c r="T632" s="1"/>
      <c r="U632" s="1"/>
      <c r="V632" s="1"/>
      <c r="W632" s="1"/>
      <c r="X632" s="1"/>
      <c r="Y632" s="1"/>
      <c r="Z632" s="1"/>
      <c r="AA632" s="1"/>
    </row>
    <row r="633" ht="12.75" customHeight="1">
      <c r="A633" s="1"/>
      <c r="B633" s="2"/>
      <c r="C633" s="3"/>
      <c r="D633" s="1"/>
      <c r="E633" s="3"/>
      <c r="F633" s="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9"/>
      <c r="S633" s="48"/>
      <c r="T633" s="1"/>
      <c r="U633" s="1"/>
      <c r="V633" s="1"/>
      <c r="W633" s="1"/>
      <c r="X633" s="1"/>
      <c r="Y633" s="1"/>
      <c r="Z633" s="1"/>
      <c r="AA633" s="1"/>
    </row>
    <row r="634" ht="12.75" customHeight="1">
      <c r="A634" s="1"/>
      <c r="B634" s="2"/>
      <c r="C634" s="3"/>
      <c r="D634" s="1"/>
      <c r="E634" s="3"/>
      <c r="F634" s="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9"/>
      <c r="S634" s="48"/>
      <c r="T634" s="1"/>
      <c r="U634" s="1"/>
      <c r="V634" s="1"/>
      <c r="W634" s="1"/>
      <c r="X634" s="1"/>
      <c r="Y634" s="1"/>
      <c r="Z634" s="1"/>
      <c r="AA634" s="1"/>
    </row>
    <row r="635" ht="12.75" customHeight="1">
      <c r="A635" s="1"/>
      <c r="B635" s="2"/>
      <c r="C635" s="3"/>
      <c r="D635" s="1"/>
      <c r="E635" s="3"/>
      <c r="F635" s="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9"/>
      <c r="S635" s="48"/>
      <c r="T635" s="1"/>
      <c r="U635" s="1"/>
      <c r="V635" s="1"/>
      <c r="W635" s="1"/>
      <c r="X635" s="1"/>
      <c r="Y635" s="1"/>
      <c r="Z635" s="1"/>
      <c r="AA635" s="1"/>
    </row>
    <row r="636" ht="12.75" customHeight="1">
      <c r="A636" s="1"/>
      <c r="B636" s="2"/>
      <c r="C636" s="3"/>
      <c r="D636" s="1"/>
      <c r="E636" s="3"/>
      <c r="F636" s="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9"/>
      <c r="S636" s="48"/>
      <c r="T636" s="1"/>
      <c r="U636" s="1"/>
      <c r="V636" s="1"/>
      <c r="W636" s="1"/>
      <c r="X636" s="1"/>
      <c r="Y636" s="1"/>
      <c r="Z636" s="1"/>
      <c r="AA636" s="1"/>
    </row>
    <row r="637" ht="12.75" customHeight="1">
      <c r="A637" s="1"/>
      <c r="B637" s="2"/>
      <c r="C637" s="3"/>
      <c r="D637" s="1"/>
      <c r="E637" s="3"/>
      <c r="F637" s="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9"/>
      <c r="S637" s="48"/>
      <c r="T637" s="1"/>
      <c r="U637" s="1"/>
      <c r="V637" s="1"/>
      <c r="W637" s="1"/>
      <c r="X637" s="1"/>
      <c r="Y637" s="1"/>
      <c r="Z637" s="1"/>
      <c r="AA637" s="1"/>
    </row>
    <row r="638" ht="12.75" customHeight="1">
      <c r="A638" s="1"/>
      <c r="B638" s="2"/>
      <c r="C638" s="3"/>
      <c r="D638" s="1"/>
      <c r="E638" s="3"/>
      <c r="F638" s="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9"/>
      <c r="S638" s="48"/>
      <c r="T638" s="1"/>
      <c r="U638" s="1"/>
      <c r="V638" s="1"/>
      <c r="W638" s="1"/>
      <c r="X638" s="1"/>
      <c r="Y638" s="1"/>
      <c r="Z638" s="1"/>
      <c r="AA638" s="1"/>
    </row>
    <row r="639" ht="12.75" customHeight="1">
      <c r="A639" s="1"/>
      <c r="B639" s="2"/>
      <c r="C639" s="3"/>
      <c r="D639" s="1"/>
      <c r="E639" s="3"/>
      <c r="F639" s="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9"/>
      <c r="S639" s="48"/>
      <c r="T639" s="1"/>
      <c r="U639" s="1"/>
      <c r="V639" s="1"/>
      <c r="W639" s="1"/>
      <c r="X639" s="1"/>
      <c r="Y639" s="1"/>
      <c r="Z639" s="1"/>
      <c r="AA639" s="1"/>
    </row>
    <row r="640" ht="12.75" customHeight="1">
      <c r="A640" s="1"/>
      <c r="B640" s="2"/>
      <c r="C640" s="3"/>
      <c r="D640" s="1"/>
      <c r="E640" s="3"/>
      <c r="F640" s="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9"/>
      <c r="S640" s="48"/>
      <c r="T640" s="1"/>
      <c r="U640" s="1"/>
      <c r="V640" s="1"/>
      <c r="W640" s="1"/>
      <c r="X640" s="1"/>
      <c r="Y640" s="1"/>
      <c r="Z640" s="1"/>
      <c r="AA640" s="1"/>
    </row>
    <row r="641" ht="12.75" customHeight="1">
      <c r="A641" s="1"/>
      <c r="B641" s="2"/>
      <c r="C641" s="3"/>
      <c r="D641" s="1"/>
      <c r="E641" s="3"/>
      <c r="F641" s="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9"/>
      <c r="S641" s="48"/>
      <c r="T641" s="1"/>
      <c r="U641" s="1"/>
      <c r="V641" s="1"/>
      <c r="W641" s="1"/>
      <c r="X641" s="1"/>
      <c r="Y641" s="1"/>
      <c r="Z641" s="1"/>
      <c r="AA641" s="1"/>
    </row>
    <row r="642" ht="12.75" customHeight="1">
      <c r="A642" s="1"/>
      <c r="B642" s="2"/>
      <c r="C642" s="3"/>
      <c r="D642" s="1"/>
      <c r="E642" s="3"/>
      <c r="F642" s="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9"/>
      <c r="S642" s="48"/>
      <c r="T642" s="1"/>
      <c r="U642" s="1"/>
      <c r="V642" s="1"/>
      <c r="W642" s="1"/>
      <c r="X642" s="1"/>
      <c r="Y642" s="1"/>
      <c r="Z642" s="1"/>
      <c r="AA642" s="1"/>
    </row>
    <row r="643" ht="12.75" customHeight="1">
      <c r="A643" s="1"/>
      <c r="B643" s="2"/>
      <c r="C643" s="3"/>
      <c r="D643" s="1"/>
      <c r="E643" s="3"/>
      <c r="F643" s="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9"/>
      <c r="S643" s="48"/>
      <c r="T643" s="1"/>
      <c r="U643" s="1"/>
      <c r="V643" s="1"/>
      <c r="W643" s="1"/>
      <c r="X643" s="1"/>
      <c r="Y643" s="1"/>
      <c r="Z643" s="1"/>
      <c r="AA643" s="1"/>
    </row>
    <row r="644" ht="12.75" customHeight="1">
      <c r="A644" s="1"/>
      <c r="B644" s="2"/>
      <c r="C644" s="3"/>
      <c r="D644" s="1"/>
      <c r="E644" s="3"/>
      <c r="F644" s="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9"/>
      <c r="S644" s="48"/>
      <c r="T644" s="1"/>
      <c r="U644" s="1"/>
      <c r="V644" s="1"/>
      <c r="W644" s="1"/>
      <c r="X644" s="1"/>
      <c r="Y644" s="1"/>
      <c r="Z644" s="1"/>
      <c r="AA644" s="1"/>
    </row>
    <row r="645" ht="12.75" customHeight="1">
      <c r="A645" s="1"/>
      <c r="B645" s="2"/>
      <c r="C645" s="3"/>
      <c r="D645" s="1"/>
      <c r="E645" s="3"/>
      <c r="F645" s="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9"/>
      <c r="S645" s="48"/>
      <c r="T645" s="1"/>
      <c r="U645" s="1"/>
      <c r="V645" s="1"/>
      <c r="W645" s="1"/>
      <c r="X645" s="1"/>
      <c r="Y645" s="1"/>
      <c r="Z645" s="1"/>
      <c r="AA645" s="1"/>
    </row>
    <row r="646" ht="12.75" customHeight="1">
      <c r="A646" s="1"/>
      <c r="B646" s="2"/>
      <c r="C646" s="3"/>
      <c r="D646" s="1"/>
      <c r="E646" s="3"/>
      <c r="F646" s="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9"/>
      <c r="S646" s="48"/>
      <c r="T646" s="1"/>
      <c r="U646" s="1"/>
      <c r="V646" s="1"/>
      <c r="W646" s="1"/>
      <c r="X646" s="1"/>
      <c r="Y646" s="1"/>
      <c r="Z646" s="1"/>
      <c r="AA646" s="1"/>
    </row>
    <row r="647" ht="12.75" customHeight="1">
      <c r="A647" s="1"/>
      <c r="B647" s="2"/>
      <c r="C647" s="3"/>
      <c r="D647" s="1"/>
      <c r="E647" s="3"/>
      <c r="F647" s="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9"/>
      <c r="S647" s="48"/>
      <c r="T647" s="1"/>
      <c r="U647" s="1"/>
      <c r="V647" s="1"/>
      <c r="W647" s="1"/>
      <c r="X647" s="1"/>
      <c r="Y647" s="1"/>
      <c r="Z647" s="1"/>
      <c r="AA647" s="1"/>
    </row>
    <row r="648" ht="12.75" customHeight="1">
      <c r="A648" s="1"/>
      <c r="B648" s="2"/>
      <c r="C648" s="3"/>
      <c r="D648" s="1"/>
      <c r="E648" s="3"/>
      <c r="F648" s="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9"/>
      <c r="S648" s="48"/>
      <c r="T648" s="1"/>
      <c r="U648" s="1"/>
      <c r="V648" s="1"/>
      <c r="W648" s="1"/>
      <c r="X648" s="1"/>
      <c r="Y648" s="1"/>
      <c r="Z648" s="1"/>
      <c r="AA648" s="1"/>
    </row>
    <row r="649" ht="12.75" customHeight="1">
      <c r="A649" s="1"/>
      <c r="B649" s="2"/>
      <c r="C649" s="3"/>
      <c r="D649" s="1"/>
      <c r="E649" s="3"/>
      <c r="F649" s="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9"/>
      <c r="S649" s="48"/>
      <c r="T649" s="1"/>
      <c r="U649" s="1"/>
      <c r="V649" s="1"/>
      <c r="W649" s="1"/>
      <c r="X649" s="1"/>
      <c r="Y649" s="1"/>
      <c r="Z649" s="1"/>
      <c r="AA649" s="1"/>
    </row>
    <row r="650" ht="12.75" customHeight="1">
      <c r="A650" s="1"/>
      <c r="B650" s="2"/>
      <c r="C650" s="3"/>
      <c r="D650" s="1"/>
      <c r="E650" s="3"/>
      <c r="F650" s="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9"/>
      <c r="S650" s="48"/>
      <c r="T650" s="1"/>
      <c r="U650" s="1"/>
      <c r="V650" s="1"/>
      <c r="W650" s="1"/>
      <c r="X650" s="1"/>
      <c r="Y650" s="1"/>
      <c r="Z650" s="1"/>
      <c r="AA650" s="1"/>
    </row>
    <row r="651" ht="12.75" customHeight="1">
      <c r="A651" s="1"/>
      <c r="B651" s="2"/>
      <c r="C651" s="3"/>
      <c r="D651" s="1"/>
      <c r="E651" s="3"/>
      <c r="F651" s="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9"/>
      <c r="S651" s="48"/>
      <c r="T651" s="1"/>
      <c r="U651" s="1"/>
      <c r="V651" s="1"/>
      <c r="W651" s="1"/>
      <c r="X651" s="1"/>
      <c r="Y651" s="1"/>
      <c r="Z651" s="1"/>
      <c r="AA651" s="1"/>
    </row>
    <row r="652" ht="12.75" customHeight="1">
      <c r="A652" s="1"/>
      <c r="B652" s="2"/>
      <c r="C652" s="3"/>
      <c r="D652" s="1"/>
      <c r="E652" s="3"/>
      <c r="F652" s="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9"/>
      <c r="S652" s="48"/>
      <c r="T652" s="1"/>
      <c r="U652" s="1"/>
      <c r="V652" s="1"/>
      <c r="W652" s="1"/>
      <c r="X652" s="1"/>
      <c r="Y652" s="1"/>
      <c r="Z652" s="1"/>
      <c r="AA652" s="1"/>
    </row>
    <row r="653" ht="12.75" customHeight="1">
      <c r="A653" s="1"/>
      <c r="B653" s="2"/>
      <c r="C653" s="3"/>
      <c r="D653" s="1"/>
      <c r="E653" s="3"/>
      <c r="F653" s="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9"/>
      <c r="S653" s="48"/>
      <c r="T653" s="1"/>
      <c r="U653" s="1"/>
      <c r="V653" s="1"/>
      <c r="W653" s="1"/>
      <c r="X653" s="1"/>
      <c r="Y653" s="1"/>
      <c r="Z653" s="1"/>
      <c r="AA653" s="1"/>
    </row>
    <row r="654" ht="12.75" customHeight="1">
      <c r="A654" s="1"/>
      <c r="B654" s="2"/>
      <c r="C654" s="3"/>
      <c r="D654" s="1"/>
      <c r="E654" s="3"/>
      <c r="F654" s="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9"/>
      <c r="S654" s="48"/>
      <c r="T654" s="1"/>
      <c r="U654" s="1"/>
      <c r="V654" s="1"/>
      <c r="W654" s="1"/>
      <c r="X654" s="1"/>
      <c r="Y654" s="1"/>
      <c r="Z654" s="1"/>
      <c r="AA654" s="1"/>
    </row>
    <row r="655" ht="12.75" customHeight="1">
      <c r="A655" s="1"/>
      <c r="B655" s="2"/>
      <c r="C655" s="3"/>
      <c r="D655" s="1"/>
      <c r="E655" s="3"/>
      <c r="F655" s="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9"/>
      <c r="S655" s="48"/>
      <c r="T655" s="1"/>
      <c r="U655" s="1"/>
      <c r="V655" s="1"/>
      <c r="W655" s="1"/>
      <c r="X655" s="1"/>
      <c r="Y655" s="1"/>
      <c r="Z655" s="1"/>
      <c r="AA655" s="1"/>
    </row>
    <row r="656" ht="12.75" customHeight="1">
      <c r="A656" s="1"/>
      <c r="B656" s="2"/>
      <c r="C656" s="3"/>
      <c r="D656" s="1"/>
      <c r="E656" s="3"/>
      <c r="F656" s="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9"/>
      <c r="S656" s="48"/>
      <c r="T656" s="1"/>
      <c r="U656" s="1"/>
      <c r="V656" s="1"/>
      <c r="W656" s="1"/>
      <c r="X656" s="1"/>
      <c r="Y656" s="1"/>
      <c r="Z656" s="1"/>
      <c r="AA656" s="1"/>
    </row>
    <row r="657" ht="12.75" customHeight="1">
      <c r="A657" s="1"/>
      <c r="B657" s="2"/>
      <c r="C657" s="3"/>
      <c r="D657" s="1"/>
      <c r="E657" s="3"/>
      <c r="F657" s="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9"/>
      <c r="S657" s="48"/>
      <c r="T657" s="1"/>
      <c r="U657" s="1"/>
      <c r="V657" s="1"/>
      <c r="W657" s="1"/>
      <c r="X657" s="1"/>
      <c r="Y657" s="1"/>
      <c r="Z657" s="1"/>
      <c r="AA657" s="1"/>
    </row>
    <row r="658" ht="12.75" customHeight="1">
      <c r="A658" s="1"/>
      <c r="B658" s="2"/>
      <c r="C658" s="3"/>
      <c r="D658" s="1"/>
      <c r="E658" s="3"/>
      <c r="F658" s="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9"/>
      <c r="S658" s="48"/>
      <c r="T658" s="1"/>
      <c r="U658" s="1"/>
      <c r="V658" s="1"/>
      <c r="W658" s="1"/>
      <c r="X658" s="1"/>
      <c r="Y658" s="1"/>
      <c r="Z658" s="1"/>
      <c r="AA658" s="1"/>
    </row>
    <row r="659" ht="12.75" customHeight="1">
      <c r="A659" s="1"/>
      <c r="B659" s="2"/>
      <c r="C659" s="3"/>
      <c r="D659" s="1"/>
      <c r="E659" s="3"/>
      <c r="F659" s="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9"/>
      <c r="S659" s="48"/>
      <c r="T659" s="1"/>
      <c r="U659" s="1"/>
      <c r="V659" s="1"/>
      <c r="W659" s="1"/>
      <c r="X659" s="1"/>
      <c r="Y659" s="1"/>
      <c r="Z659" s="1"/>
      <c r="AA659" s="1"/>
    </row>
    <row r="660" ht="12.75" customHeight="1">
      <c r="A660" s="1"/>
      <c r="B660" s="2"/>
      <c r="C660" s="3"/>
      <c r="D660" s="1"/>
      <c r="E660" s="3"/>
      <c r="F660" s="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9"/>
      <c r="S660" s="48"/>
      <c r="T660" s="1"/>
      <c r="U660" s="1"/>
      <c r="V660" s="1"/>
      <c r="W660" s="1"/>
      <c r="X660" s="1"/>
      <c r="Y660" s="1"/>
      <c r="Z660" s="1"/>
      <c r="AA660" s="1"/>
    </row>
    <row r="661" ht="12.75" customHeight="1">
      <c r="A661" s="1"/>
      <c r="B661" s="2"/>
      <c r="C661" s="3"/>
      <c r="D661" s="1"/>
      <c r="E661" s="3"/>
      <c r="F661" s="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9"/>
      <c r="S661" s="48"/>
      <c r="T661" s="1"/>
      <c r="U661" s="1"/>
      <c r="V661" s="1"/>
      <c r="W661" s="1"/>
      <c r="X661" s="1"/>
      <c r="Y661" s="1"/>
      <c r="Z661" s="1"/>
      <c r="AA661" s="1"/>
    </row>
    <row r="662" ht="12.75" customHeight="1">
      <c r="A662" s="1"/>
      <c r="B662" s="2"/>
      <c r="C662" s="3"/>
      <c r="D662" s="1"/>
      <c r="E662" s="3"/>
      <c r="F662" s="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9"/>
      <c r="S662" s="48"/>
      <c r="T662" s="1"/>
      <c r="U662" s="1"/>
      <c r="V662" s="1"/>
      <c r="W662" s="1"/>
      <c r="X662" s="1"/>
      <c r="Y662" s="1"/>
      <c r="Z662" s="1"/>
      <c r="AA662" s="1"/>
    </row>
    <row r="663" ht="12.75" customHeight="1">
      <c r="A663" s="1"/>
      <c r="B663" s="2"/>
      <c r="C663" s="3"/>
      <c r="D663" s="1"/>
      <c r="E663" s="3"/>
      <c r="F663" s="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9"/>
      <c r="S663" s="48"/>
      <c r="T663" s="1"/>
      <c r="U663" s="1"/>
      <c r="V663" s="1"/>
      <c r="W663" s="1"/>
      <c r="X663" s="1"/>
      <c r="Y663" s="1"/>
      <c r="Z663" s="1"/>
      <c r="AA663" s="1"/>
    </row>
    <row r="664" ht="12.75" customHeight="1">
      <c r="A664" s="1"/>
      <c r="B664" s="2"/>
      <c r="C664" s="3"/>
      <c r="D664" s="1"/>
      <c r="E664" s="3"/>
      <c r="F664" s="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9"/>
      <c r="S664" s="48"/>
      <c r="T664" s="1"/>
      <c r="U664" s="1"/>
      <c r="V664" s="1"/>
      <c r="W664" s="1"/>
      <c r="X664" s="1"/>
      <c r="Y664" s="1"/>
      <c r="Z664" s="1"/>
      <c r="AA664" s="1"/>
    </row>
    <row r="665" ht="12.75" customHeight="1">
      <c r="A665" s="1"/>
      <c r="B665" s="2"/>
      <c r="C665" s="3"/>
      <c r="D665" s="1"/>
      <c r="E665" s="3"/>
      <c r="F665" s="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9"/>
      <c r="S665" s="48"/>
      <c r="T665" s="1"/>
      <c r="U665" s="1"/>
      <c r="V665" s="1"/>
      <c r="W665" s="1"/>
      <c r="X665" s="1"/>
      <c r="Y665" s="1"/>
      <c r="Z665" s="1"/>
      <c r="AA665" s="1"/>
    </row>
    <row r="666" ht="12.75" customHeight="1">
      <c r="A666" s="1"/>
      <c r="B666" s="2"/>
      <c r="C666" s="3"/>
      <c r="D666" s="1"/>
      <c r="E666" s="3"/>
      <c r="F666" s="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9"/>
      <c r="S666" s="48"/>
      <c r="T666" s="1"/>
      <c r="U666" s="1"/>
      <c r="V666" s="1"/>
      <c r="W666" s="1"/>
      <c r="X666" s="1"/>
      <c r="Y666" s="1"/>
      <c r="Z666" s="1"/>
      <c r="AA666" s="1"/>
    </row>
    <row r="667" ht="12.75" customHeight="1">
      <c r="A667" s="1"/>
      <c r="B667" s="2"/>
      <c r="C667" s="3"/>
      <c r="D667" s="1"/>
      <c r="E667" s="3"/>
      <c r="F667" s="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9"/>
      <c r="S667" s="48"/>
      <c r="T667" s="1"/>
      <c r="U667" s="1"/>
      <c r="V667" s="1"/>
      <c r="W667" s="1"/>
      <c r="X667" s="1"/>
      <c r="Y667" s="1"/>
      <c r="Z667" s="1"/>
      <c r="AA667" s="1"/>
    </row>
    <row r="668" ht="12.75" customHeight="1">
      <c r="A668" s="1"/>
      <c r="B668" s="2"/>
      <c r="C668" s="3"/>
      <c r="D668" s="1"/>
      <c r="E668" s="3"/>
      <c r="F668" s="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9"/>
      <c r="S668" s="48"/>
      <c r="T668" s="1"/>
      <c r="U668" s="1"/>
      <c r="V668" s="1"/>
      <c r="W668" s="1"/>
      <c r="X668" s="1"/>
      <c r="Y668" s="1"/>
      <c r="Z668" s="1"/>
      <c r="AA668" s="1"/>
    </row>
    <row r="669" ht="12.75" customHeight="1">
      <c r="A669" s="1"/>
      <c r="B669" s="2"/>
      <c r="C669" s="3"/>
      <c r="D669" s="1"/>
      <c r="E669" s="3"/>
      <c r="F669" s="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9"/>
      <c r="S669" s="48"/>
      <c r="T669" s="1"/>
      <c r="U669" s="1"/>
      <c r="V669" s="1"/>
      <c r="W669" s="1"/>
      <c r="X669" s="1"/>
      <c r="Y669" s="1"/>
      <c r="Z669" s="1"/>
      <c r="AA669" s="1"/>
    </row>
    <row r="670" ht="12.75" customHeight="1">
      <c r="A670" s="1"/>
      <c r="B670" s="2"/>
      <c r="C670" s="3"/>
      <c r="D670" s="1"/>
      <c r="E670" s="3"/>
      <c r="F670" s="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9"/>
      <c r="S670" s="48"/>
      <c r="T670" s="1"/>
      <c r="U670" s="1"/>
      <c r="V670" s="1"/>
      <c r="W670" s="1"/>
      <c r="X670" s="1"/>
      <c r="Y670" s="1"/>
      <c r="Z670" s="1"/>
      <c r="AA670" s="1"/>
    </row>
    <row r="671" ht="12.75" customHeight="1">
      <c r="A671" s="1"/>
      <c r="B671" s="2"/>
      <c r="C671" s="3"/>
      <c r="D671" s="1"/>
      <c r="E671" s="3"/>
      <c r="F671" s="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9"/>
      <c r="S671" s="48"/>
      <c r="T671" s="1"/>
      <c r="U671" s="1"/>
      <c r="V671" s="1"/>
      <c r="W671" s="1"/>
      <c r="X671" s="1"/>
      <c r="Y671" s="1"/>
      <c r="Z671" s="1"/>
      <c r="AA671" s="1"/>
    </row>
    <row r="672" ht="12.75" customHeight="1">
      <c r="A672" s="1"/>
      <c r="B672" s="2"/>
      <c r="C672" s="3"/>
      <c r="D672" s="1"/>
      <c r="E672" s="3"/>
      <c r="F672" s="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9"/>
      <c r="S672" s="48"/>
      <c r="T672" s="1"/>
      <c r="U672" s="1"/>
      <c r="V672" s="1"/>
      <c r="W672" s="1"/>
      <c r="X672" s="1"/>
      <c r="Y672" s="1"/>
      <c r="Z672" s="1"/>
      <c r="AA672" s="1"/>
    </row>
    <row r="673" ht="12.75" customHeight="1">
      <c r="A673" s="1"/>
      <c r="B673" s="2"/>
      <c r="C673" s="3"/>
      <c r="D673" s="1"/>
      <c r="E673" s="3"/>
      <c r="F673" s="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9"/>
      <c r="S673" s="48"/>
      <c r="T673" s="1"/>
      <c r="U673" s="1"/>
      <c r="V673" s="1"/>
      <c r="W673" s="1"/>
      <c r="X673" s="1"/>
      <c r="Y673" s="1"/>
      <c r="Z673" s="1"/>
      <c r="AA673" s="1"/>
    </row>
    <row r="674" ht="12.75" customHeight="1">
      <c r="A674" s="1"/>
      <c r="B674" s="2"/>
      <c r="C674" s="3"/>
      <c r="D674" s="1"/>
      <c r="E674" s="3"/>
      <c r="F674" s="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9"/>
      <c r="S674" s="48"/>
      <c r="T674" s="1"/>
      <c r="U674" s="1"/>
      <c r="V674" s="1"/>
      <c r="W674" s="1"/>
      <c r="X674" s="1"/>
      <c r="Y674" s="1"/>
      <c r="Z674" s="1"/>
      <c r="AA674" s="1"/>
    </row>
    <row r="675" ht="12.75" customHeight="1">
      <c r="A675" s="1"/>
      <c r="B675" s="2"/>
      <c r="C675" s="3"/>
      <c r="D675" s="1"/>
      <c r="E675" s="3"/>
      <c r="F675" s="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9"/>
      <c r="S675" s="48"/>
      <c r="T675" s="1"/>
      <c r="U675" s="1"/>
      <c r="V675" s="1"/>
      <c r="W675" s="1"/>
      <c r="X675" s="1"/>
      <c r="Y675" s="1"/>
      <c r="Z675" s="1"/>
      <c r="AA675" s="1"/>
    </row>
    <row r="676" ht="12.75" customHeight="1">
      <c r="A676" s="1"/>
      <c r="B676" s="2"/>
      <c r="C676" s="3"/>
      <c r="D676" s="1"/>
      <c r="E676" s="3"/>
      <c r="F676" s="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9"/>
      <c r="S676" s="48"/>
      <c r="T676" s="1"/>
      <c r="U676" s="1"/>
      <c r="V676" s="1"/>
      <c r="W676" s="1"/>
      <c r="X676" s="1"/>
      <c r="Y676" s="1"/>
      <c r="Z676" s="1"/>
      <c r="AA676" s="1"/>
    </row>
    <row r="677" ht="12.75" customHeight="1">
      <c r="A677" s="1"/>
      <c r="B677" s="2"/>
      <c r="C677" s="3"/>
      <c r="D677" s="1"/>
      <c r="E677" s="3"/>
      <c r="F677" s="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9"/>
      <c r="S677" s="48"/>
      <c r="T677" s="1"/>
      <c r="U677" s="1"/>
      <c r="V677" s="1"/>
      <c r="W677" s="1"/>
      <c r="X677" s="1"/>
      <c r="Y677" s="1"/>
      <c r="Z677" s="1"/>
      <c r="AA677" s="1"/>
    </row>
    <row r="678" ht="12.75" customHeight="1">
      <c r="A678" s="1"/>
      <c r="B678" s="2"/>
      <c r="C678" s="3"/>
      <c r="D678" s="1"/>
      <c r="E678" s="3"/>
      <c r="F678" s="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9"/>
      <c r="S678" s="48"/>
      <c r="T678" s="1"/>
      <c r="U678" s="1"/>
      <c r="V678" s="1"/>
      <c r="W678" s="1"/>
      <c r="X678" s="1"/>
      <c r="Y678" s="1"/>
      <c r="Z678" s="1"/>
      <c r="AA678" s="1"/>
    </row>
    <row r="679" ht="12.75" customHeight="1">
      <c r="A679" s="1"/>
      <c r="B679" s="2"/>
      <c r="C679" s="3"/>
      <c r="D679" s="1"/>
      <c r="E679" s="3"/>
      <c r="F679" s="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9"/>
      <c r="S679" s="48"/>
      <c r="T679" s="1"/>
      <c r="U679" s="1"/>
      <c r="V679" s="1"/>
      <c r="W679" s="1"/>
      <c r="X679" s="1"/>
      <c r="Y679" s="1"/>
      <c r="Z679" s="1"/>
      <c r="AA679" s="1"/>
    </row>
    <row r="680" ht="12.75" customHeight="1">
      <c r="A680" s="1"/>
      <c r="B680" s="2"/>
      <c r="C680" s="3"/>
      <c r="D680" s="1"/>
      <c r="E680" s="3"/>
      <c r="F680" s="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9"/>
      <c r="S680" s="48"/>
      <c r="T680" s="1"/>
      <c r="U680" s="1"/>
      <c r="V680" s="1"/>
      <c r="W680" s="1"/>
      <c r="X680" s="1"/>
      <c r="Y680" s="1"/>
      <c r="Z680" s="1"/>
      <c r="AA680" s="1"/>
    </row>
    <row r="681" ht="12.75" customHeight="1">
      <c r="A681" s="1"/>
      <c r="B681" s="2"/>
      <c r="C681" s="3"/>
      <c r="D681" s="1"/>
      <c r="E681" s="3"/>
      <c r="F681" s="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9"/>
      <c r="S681" s="48"/>
      <c r="T681" s="1"/>
      <c r="U681" s="1"/>
      <c r="V681" s="1"/>
      <c r="W681" s="1"/>
      <c r="X681" s="1"/>
      <c r="Y681" s="1"/>
      <c r="Z681" s="1"/>
      <c r="AA681" s="1"/>
    </row>
    <row r="682" ht="12.75" customHeight="1">
      <c r="A682" s="1"/>
      <c r="B682" s="2"/>
      <c r="C682" s="3"/>
      <c r="D682" s="1"/>
      <c r="E682" s="3"/>
      <c r="F682" s="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9"/>
      <c r="S682" s="48"/>
      <c r="T682" s="1"/>
      <c r="U682" s="1"/>
      <c r="V682" s="1"/>
      <c r="W682" s="1"/>
      <c r="X682" s="1"/>
      <c r="Y682" s="1"/>
      <c r="Z682" s="1"/>
      <c r="AA682" s="1"/>
    </row>
    <row r="683" ht="12.75" customHeight="1">
      <c r="A683" s="1"/>
      <c r="B683" s="2"/>
      <c r="C683" s="3"/>
      <c r="D683" s="1"/>
      <c r="E683" s="3"/>
      <c r="F683" s="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9"/>
      <c r="S683" s="48"/>
      <c r="T683" s="1"/>
      <c r="U683" s="1"/>
      <c r="V683" s="1"/>
      <c r="W683" s="1"/>
      <c r="X683" s="1"/>
      <c r="Y683" s="1"/>
      <c r="Z683" s="1"/>
      <c r="AA683" s="1"/>
    </row>
    <row r="684" ht="12.75" customHeight="1">
      <c r="A684" s="1"/>
      <c r="B684" s="2"/>
      <c r="C684" s="3"/>
      <c r="D684" s="1"/>
      <c r="E684" s="3"/>
      <c r="F684" s="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9"/>
      <c r="S684" s="48"/>
      <c r="T684" s="1"/>
      <c r="U684" s="1"/>
      <c r="V684" s="1"/>
      <c r="W684" s="1"/>
      <c r="X684" s="1"/>
      <c r="Y684" s="1"/>
      <c r="Z684" s="1"/>
      <c r="AA684" s="1"/>
    </row>
    <row r="685" ht="12.75" customHeight="1">
      <c r="A685" s="1"/>
      <c r="B685" s="2"/>
      <c r="C685" s="3"/>
      <c r="D685" s="1"/>
      <c r="E685" s="3"/>
      <c r="F685" s="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9"/>
      <c r="S685" s="48"/>
      <c r="T685" s="1"/>
      <c r="U685" s="1"/>
      <c r="V685" s="1"/>
      <c r="W685" s="1"/>
      <c r="X685" s="1"/>
      <c r="Y685" s="1"/>
      <c r="Z685" s="1"/>
      <c r="AA685" s="1"/>
    </row>
    <row r="686" ht="12.75" customHeight="1">
      <c r="A686" s="1"/>
      <c r="B686" s="2"/>
      <c r="C686" s="3"/>
      <c r="D686" s="1"/>
      <c r="E686" s="3"/>
      <c r="F686" s="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9"/>
      <c r="S686" s="48"/>
      <c r="T686" s="1"/>
      <c r="U686" s="1"/>
      <c r="V686" s="1"/>
      <c r="W686" s="1"/>
      <c r="X686" s="1"/>
      <c r="Y686" s="1"/>
      <c r="Z686" s="1"/>
      <c r="AA686" s="1"/>
    </row>
    <row r="687" ht="12.75" customHeight="1">
      <c r="A687" s="1"/>
      <c r="B687" s="2"/>
      <c r="C687" s="3"/>
      <c r="D687" s="1"/>
      <c r="E687" s="3"/>
      <c r="F687" s="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9"/>
      <c r="S687" s="48"/>
      <c r="T687" s="1"/>
      <c r="U687" s="1"/>
      <c r="V687" s="1"/>
      <c r="W687" s="1"/>
      <c r="X687" s="1"/>
      <c r="Y687" s="1"/>
      <c r="Z687" s="1"/>
      <c r="AA687" s="1"/>
    </row>
    <row r="688" ht="12.75" customHeight="1">
      <c r="A688" s="1"/>
      <c r="B688" s="2"/>
      <c r="C688" s="3"/>
      <c r="D688" s="1"/>
      <c r="E688" s="3"/>
      <c r="F688" s="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9"/>
      <c r="S688" s="48"/>
      <c r="T688" s="1"/>
      <c r="U688" s="1"/>
      <c r="V688" s="1"/>
      <c r="W688" s="1"/>
      <c r="X688" s="1"/>
      <c r="Y688" s="1"/>
      <c r="Z688" s="1"/>
      <c r="AA688" s="1"/>
    </row>
    <row r="689" ht="12.75" customHeight="1">
      <c r="A689" s="1"/>
      <c r="B689" s="2"/>
      <c r="C689" s="3"/>
      <c r="D689" s="1"/>
      <c r="E689" s="3"/>
      <c r="F689" s="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9"/>
      <c r="S689" s="48"/>
      <c r="T689" s="1"/>
      <c r="U689" s="1"/>
      <c r="V689" s="1"/>
      <c r="W689" s="1"/>
      <c r="X689" s="1"/>
      <c r="Y689" s="1"/>
      <c r="Z689" s="1"/>
      <c r="AA689" s="1"/>
    </row>
    <row r="690" ht="12.75" customHeight="1">
      <c r="A690" s="1"/>
      <c r="B690" s="2"/>
      <c r="C690" s="3"/>
      <c r="D690" s="1"/>
      <c r="E690" s="3"/>
      <c r="F690" s="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9"/>
      <c r="S690" s="48"/>
      <c r="T690" s="1"/>
      <c r="U690" s="1"/>
      <c r="V690" s="1"/>
      <c r="W690" s="1"/>
      <c r="X690" s="1"/>
      <c r="Y690" s="1"/>
      <c r="Z690" s="1"/>
      <c r="AA690" s="1"/>
    </row>
    <row r="691" ht="12.75" customHeight="1">
      <c r="A691" s="1"/>
      <c r="B691" s="2"/>
      <c r="C691" s="3"/>
      <c r="D691" s="1"/>
      <c r="E691" s="3"/>
      <c r="F691" s="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9"/>
      <c r="S691" s="48"/>
      <c r="T691" s="1"/>
      <c r="U691" s="1"/>
      <c r="V691" s="1"/>
      <c r="W691" s="1"/>
      <c r="X691" s="1"/>
      <c r="Y691" s="1"/>
      <c r="Z691" s="1"/>
      <c r="AA691" s="1"/>
    </row>
    <row r="692" ht="12.75" customHeight="1">
      <c r="A692" s="1"/>
      <c r="B692" s="2"/>
      <c r="C692" s="3"/>
      <c r="D692" s="1"/>
      <c r="E692" s="3"/>
      <c r="F692" s="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9"/>
      <c r="S692" s="48"/>
      <c r="T692" s="1"/>
      <c r="U692" s="1"/>
      <c r="V692" s="1"/>
      <c r="W692" s="1"/>
      <c r="X692" s="1"/>
      <c r="Y692" s="1"/>
      <c r="Z692" s="1"/>
      <c r="AA692" s="1"/>
    </row>
    <row r="693" ht="12.75" customHeight="1">
      <c r="A693" s="1"/>
      <c r="B693" s="2"/>
      <c r="C693" s="3"/>
      <c r="D693" s="1"/>
      <c r="E693" s="3"/>
      <c r="F693" s="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9"/>
      <c r="S693" s="48"/>
      <c r="T693" s="1"/>
      <c r="U693" s="1"/>
      <c r="V693" s="1"/>
      <c r="W693" s="1"/>
      <c r="X693" s="1"/>
      <c r="Y693" s="1"/>
      <c r="Z693" s="1"/>
      <c r="AA693" s="1"/>
    </row>
    <row r="694" ht="12.75" customHeight="1">
      <c r="A694" s="1"/>
      <c r="B694" s="2"/>
      <c r="C694" s="3"/>
      <c r="D694" s="1"/>
      <c r="E694" s="3"/>
      <c r="F694" s="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9"/>
      <c r="S694" s="48"/>
      <c r="T694" s="1"/>
      <c r="U694" s="1"/>
      <c r="V694" s="1"/>
      <c r="W694" s="1"/>
      <c r="X694" s="1"/>
      <c r="Y694" s="1"/>
      <c r="Z694" s="1"/>
      <c r="AA694" s="1"/>
    </row>
    <row r="695" ht="12.75" customHeight="1">
      <c r="A695" s="1"/>
      <c r="B695" s="2"/>
      <c r="C695" s="3"/>
      <c r="D695" s="1"/>
      <c r="E695" s="3"/>
      <c r="F695" s="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9"/>
      <c r="S695" s="48"/>
      <c r="T695" s="1"/>
      <c r="U695" s="1"/>
      <c r="V695" s="1"/>
      <c r="W695" s="1"/>
      <c r="X695" s="1"/>
      <c r="Y695" s="1"/>
      <c r="Z695" s="1"/>
      <c r="AA695" s="1"/>
    </row>
    <row r="696" ht="12.75" customHeight="1">
      <c r="A696" s="1"/>
      <c r="B696" s="2"/>
      <c r="C696" s="3"/>
      <c r="D696" s="1"/>
      <c r="E696" s="3"/>
      <c r="F696" s="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9"/>
      <c r="S696" s="48"/>
      <c r="T696" s="1"/>
      <c r="U696" s="1"/>
      <c r="V696" s="1"/>
      <c r="W696" s="1"/>
      <c r="X696" s="1"/>
      <c r="Y696" s="1"/>
      <c r="Z696" s="1"/>
      <c r="AA696" s="1"/>
    </row>
    <row r="697" ht="12.75" customHeight="1">
      <c r="A697" s="1"/>
      <c r="B697" s="2"/>
      <c r="C697" s="3"/>
      <c r="D697" s="1"/>
      <c r="E697" s="3"/>
      <c r="F697" s="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9"/>
      <c r="S697" s="48"/>
      <c r="T697" s="1"/>
      <c r="U697" s="1"/>
      <c r="V697" s="1"/>
      <c r="W697" s="1"/>
      <c r="X697" s="1"/>
      <c r="Y697" s="1"/>
      <c r="Z697" s="1"/>
      <c r="AA697" s="1"/>
    </row>
    <row r="698" ht="12.75" customHeight="1">
      <c r="A698" s="1"/>
      <c r="B698" s="2"/>
      <c r="C698" s="3"/>
      <c r="D698" s="1"/>
      <c r="E698" s="3"/>
      <c r="F698" s="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9"/>
      <c r="S698" s="48"/>
      <c r="T698" s="1"/>
      <c r="U698" s="1"/>
      <c r="V698" s="1"/>
      <c r="W698" s="1"/>
      <c r="X698" s="1"/>
      <c r="Y698" s="1"/>
      <c r="Z698" s="1"/>
      <c r="AA698" s="1"/>
    </row>
    <row r="699" ht="12.75" customHeight="1">
      <c r="A699" s="1"/>
      <c r="B699" s="2"/>
      <c r="C699" s="3"/>
      <c r="D699" s="1"/>
      <c r="E699" s="3"/>
      <c r="F699" s="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9"/>
      <c r="S699" s="48"/>
      <c r="T699" s="1"/>
      <c r="U699" s="1"/>
      <c r="V699" s="1"/>
      <c r="W699" s="1"/>
      <c r="X699" s="1"/>
      <c r="Y699" s="1"/>
      <c r="Z699" s="1"/>
      <c r="AA699" s="1"/>
    </row>
    <row r="700" ht="12.75" customHeight="1">
      <c r="A700" s="1"/>
      <c r="B700" s="2"/>
      <c r="C700" s="3"/>
      <c r="D700" s="1"/>
      <c r="E700" s="3"/>
      <c r="F700" s="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9"/>
      <c r="S700" s="48"/>
      <c r="T700" s="1"/>
      <c r="U700" s="1"/>
      <c r="V700" s="1"/>
      <c r="W700" s="1"/>
      <c r="X700" s="1"/>
      <c r="Y700" s="1"/>
      <c r="Z700" s="1"/>
      <c r="AA700" s="1"/>
    </row>
    <row r="701" ht="12.75" customHeight="1">
      <c r="A701" s="1"/>
      <c r="B701" s="2"/>
      <c r="C701" s="3"/>
      <c r="D701" s="1"/>
      <c r="E701" s="3"/>
      <c r="F701" s="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9"/>
      <c r="S701" s="48"/>
      <c r="T701" s="1"/>
      <c r="U701" s="1"/>
      <c r="V701" s="1"/>
      <c r="W701" s="1"/>
      <c r="X701" s="1"/>
      <c r="Y701" s="1"/>
      <c r="Z701" s="1"/>
      <c r="AA701" s="1"/>
    </row>
    <row r="702" ht="12.75" customHeight="1">
      <c r="A702" s="1"/>
      <c r="B702" s="2"/>
      <c r="C702" s="3"/>
      <c r="D702" s="1"/>
      <c r="E702" s="3"/>
      <c r="F702" s="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9"/>
      <c r="S702" s="48"/>
      <c r="T702" s="1"/>
      <c r="U702" s="1"/>
      <c r="V702" s="1"/>
      <c r="W702" s="1"/>
      <c r="X702" s="1"/>
      <c r="Y702" s="1"/>
      <c r="Z702" s="1"/>
      <c r="AA702" s="1"/>
    </row>
    <row r="703" ht="12.75" customHeight="1">
      <c r="A703" s="1"/>
      <c r="B703" s="2"/>
      <c r="C703" s="3"/>
      <c r="D703" s="1"/>
      <c r="E703" s="3"/>
      <c r="F703" s="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9"/>
      <c r="S703" s="48"/>
      <c r="T703" s="1"/>
      <c r="U703" s="1"/>
      <c r="V703" s="1"/>
      <c r="W703" s="1"/>
      <c r="X703" s="1"/>
      <c r="Y703" s="1"/>
      <c r="Z703" s="1"/>
      <c r="AA703" s="1"/>
    </row>
    <row r="704" ht="12.75" customHeight="1">
      <c r="A704" s="1"/>
      <c r="B704" s="2"/>
      <c r="C704" s="3"/>
      <c r="D704" s="1"/>
      <c r="E704" s="3"/>
      <c r="F704" s="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9"/>
      <c r="S704" s="48"/>
      <c r="T704" s="1"/>
      <c r="U704" s="1"/>
      <c r="V704" s="1"/>
      <c r="W704" s="1"/>
      <c r="X704" s="1"/>
      <c r="Y704" s="1"/>
      <c r="Z704" s="1"/>
      <c r="AA704" s="1"/>
    </row>
    <row r="705" ht="12.75" customHeight="1">
      <c r="A705" s="1"/>
      <c r="B705" s="2"/>
      <c r="C705" s="3"/>
      <c r="D705" s="1"/>
      <c r="E705" s="3"/>
      <c r="F705" s="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9"/>
      <c r="S705" s="48"/>
      <c r="T705" s="1"/>
      <c r="U705" s="1"/>
      <c r="V705" s="1"/>
      <c r="W705" s="1"/>
      <c r="X705" s="1"/>
      <c r="Y705" s="1"/>
      <c r="Z705" s="1"/>
      <c r="AA705" s="1"/>
    </row>
    <row r="706" ht="12.75" customHeight="1">
      <c r="A706" s="1"/>
      <c r="B706" s="2"/>
      <c r="C706" s="3"/>
      <c r="D706" s="1"/>
      <c r="E706" s="3"/>
      <c r="F706" s="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9"/>
      <c r="S706" s="48"/>
      <c r="T706" s="1"/>
      <c r="U706" s="1"/>
      <c r="V706" s="1"/>
      <c r="W706" s="1"/>
      <c r="X706" s="1"/>
      <c r="Y706" s="1"/>
      <c r="Z706" s="1"/>
      <c r="AA706" s="1"/>
    </row>
    <row r="707" ht="12.75" customHeight="1">
      <c r="A707" s="1"/>
      <c r="B707" s="2"/>
      <c r="C707" s="3"/>
      <c r="D707" s="1"/>
      <c r="E707" s="3"/>
      <c r="F707" s="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9"/>
      <c r="S707" s="48"/>
      <c r="T707" s="1"/>
      <c r="U707" s="1"/>
      <c r="V707" s="1"/>
      <c r="W707" s="1"/>
      <c r="X707" s="1"/>
      <c r="Y707" s="1"/>
      <c r="Z707" s="1"/>
      <c r="AA707" s="1"/>
    </row>
    <row r="708" ht="12.75" customHeight="1">
      <c r="A708" s="1"/>
      <c r="B708" s="2"/>
      <c r="C708" s="3"/>
      <c r="D708" s="1"/>
      <c r="E708" s="3"/>
      <c r="F708" s="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9"/>
      <c r="S708" s="48"/>
      <c r="T708" s="1"/>
      <c r="U708" s="1"/>
      <c r="V708" s="1"/>
      <c r="W708" s="1"/>
      <c r="X708" s="1"/>
      <c r="Y708" s="1"/>
      <c r="Z708" s="1"/>
      <c r="AA708" s="1"/>
    </row>
    <row r="709" ht="12.75" customHeight="1">
      <c r="A709" s="1"/>
      <c r="B709" s="2"/>
      <c r="C709" s="3"/>
      <c r="D709" s="1"/>
      <c r="E709" s="3"/>
      <c r="F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9"/>
      <c r="S709" s="48"/>
      <c r="T709" s="1"/>
      <c r="U709" s="1"/>
      <c r="V709" s="1"/>
      <c r="W709" s="1"/>
      <c r="X709" s="1"/>
      <c r="Y709" s="1"/>
      <c r="Z709" s="1"/>
      <c r="AA709" s="1"/>
    </row>
    <row r="710" ht="12.75" customHeight="1">
      <c r="A710" s="1"/>
      <c r="B710" s="2"/>
      <c r="C710" s="3"/>
      <c r="D710" s="1"/>
      <c r="E710" s="3"/>
      <c r="F710" s="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9"/>
      <c r="S710" s="48"/>
      <c r="T710" s="1"/>
      <c r="U710" s="1"/>
      <c r="V710" s="1"/>
      <c r="W710" s="1"/>
      <c r="X710" s="1"/>
      <c r="Y710" s="1"/>
      <c r="Z710" s="1"/>
      <c r="AA710" s="1"/>
    </row>
    <row r="711" ht="12.75" customHeight="1">
      <c r="A711" s="1"/>
      <c r="B711" s="2"/>
      <c r="C711" s="3"/>
      <c r="D711" s="1"/>
      <c r="E711" s="3"/>
      <c r="F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9"/>
      <c r="S711" s="48"/>
      <c r="T711" s="1"/>
      <c r="U711" s="1"/>
      <c r="V711" s="1"/>
      <c r="W711" s="1"/>
      <c r="X711" s="1"/>
      <c r="Y711" s="1"/>
      <c r="Z711" s="1"/>
      <c r="AA711" s="1"/>
    </row>
    <row r="712" ht="12.75" customHeight="1">
      <c r="A712" s="1"/>
      <c r="B712" s="2"/>
      <c r="C712" s="3"/>
      <c r="D712" s="1"/>
      <c r="E712" s="3"/>
      <c r="F712" s="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9"/>
      <c r="S712" s="48"/>
      <c r="T712" s="1"/>
      <c r="U712" s="1"/>
      <c r="V712" s="1"/>
      <c r="W712" s="1"/>
      <c r="X712" s="1"/>
      <c r="Y712" s="1"/>
      <c r="Z712" s="1"/>
      <c r="AA712" s="1"/>
    </row>
    <row r="713" ht="12.75" customHeight="1">
      <c r="A713" s="1"/>
      <c r="B713" s="2"/>
      <c r="C713" s="3"/>
      <c r="D713" s="1"/>
      <c r="E713" s="3"/>
      <c r="F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9"/>
      <c r="S713" s="48"/>
      <c r="T713" s="1"/>
      <c r="U713" s="1"/>
      <c r="V713" s="1"/>
      <c r="W713" s="1"/>
      <c r="X713" s="1"/>
      <c r="Y713" s="1"/>
      <c r="Z713" s="1"/>
      <c r="AA713" s="1"/>
    </row>
    <row r="714" ht="12.75" customHeight="1">
      <c r="A714" s="1"/>
      <c r="B714" s="2"/>
      <c r="C714" s="3"/>
      <c r="D714" s="1"/>
      <c r="E714" s="3"/>
      <c r="F714" s="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9"/>
      <c r="S714" s="48"/>
      <c r="T714" s="1"/>
      <c r="U714" s="1"/>
      <c r="V714" s="1"/>
      <c r="W714" s="1"/>
      <c r="X714" s="1"/>
      <c r="Y714" s="1"/>
      <c r="Z714" s="1"/>
      <c r="AA714" s="1"/>
    </row>
    <row r="715" ht="12.75" customHeight="1">
      <c r="A715" s="1"/>
      <c r="B715" s="2"/>
      <c r="C715" s="3"/>
      <c r="D715" s="1"/>
      <c r="E715" s="3"/>
      <c r="F715" s="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9"/>
      <c r="S715" s="48"/>
      <c r="T715" s="1"/>
      <c r="U715" s="1"/>
      <c r="V715" s="1"/>
      <c r="W715" s="1"/>
      <c r="X715" s="1"/>
      <c r="Y715" s="1"/>
      <c r="Z715" s="1"/>
      <c r="AA715" s="1"/>
    </row>
    <row r="716" ht="12.75" customHeight="1">
      <c r="A716" s="1"/>
      <c r="B716" s="2"/>
      <c r="C716" s="3"/>
      <c r="D716" s="1"/>
      <c r="E716" s="3"/>
      <c r="F716" s="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9"/>
      <c r="S716" s="48"/>
      <c r="T716" s="1"/>
      <c r="U716" s="1"/>
      <c r="V716" s="1"/>
      <c r="W716" s="1"/>
      <c r="X716" s="1"/>
      <c r="Y716" s="1"/>
      <c r="Z716" s="1"/>
      <c r="AA716" s="1"/>
    </row>
    <row r="717" ht="12.75" customHeight="1">
      <c r="A717" s="1"/>
      <c r="B717" s="2"/>
      <c r="C717" s="3"/>
      <c r="D717" s="1"/>
      <c r="E717" s="3"/>
      <c r="F717" s="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9"/>
      <c r="S717" s="48"/>
      <c r="T717" s="1"/>
      <c r="U717" s="1"/>
      <c r="V717" s="1"/>
      <c r="W717" s="1"/>
      <c r="X717" s="1"/>
      <c r="Y717" s="1"/>
      <c r="Z717" s="1"/>
      <c r="AA717" s="1"/>
    </row>
    <row r="718" ht="12.75" customHeight="1">
      <c r="A718" s="1"/>
      <c r="B718" s="2"/>
      <c r="C718" s="3"/>
      <c r="D718" s="1"/>
      <c r="E718" s="3"/>
      <c r="F718" s="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9"/>
      <c r="S718" s="48"/>
      <c r="T718" s="1"/>
      <c r="U718" s="1"/>
      <c r="V718" s="1"/>
      <c r="W718" s="1"/>
      <c r="X718" s="1"/>
      <c r="Y718" s="1"/>
      <c r="Z718" s="1"/>
      <c r="AA718" s="1"/>
    </row>
    <row r="719" ht="12.75" customHeight="1">
      <c r="A719" s="1"/>
      <c r="B719" s="2"/>
      <c r="C719" s="3"/>
      <c r="D719" s="1"/>
      <c r="E719" s="3"/>
      <c r="F719" s="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9"/>
      <c r="S719" s="48"/>
      <c r="T719" s="1"/>
      <c r="U719" s="1"/>
      <c r="V719" s="1"/>
      <c r="W719" s="1"/>
      <c r="X719" s="1"/>
      <c r="Y719" s="1"/>
      <c r="Z719" s="1"/>
      <c r="AA719" s="1"/>
    </row>
    <row r="720" ht="12.75" customHeight="1">
      <c r="A720" s="1"/>
      <c r="B720" s="2"/>
      <c r="C720" s="3"/>
      <c r="D720" s="1"/>
      <c r="E720" s="3"/>
      <c r="F720" s="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9"/>
      <c r="S720" s="48"/>
      <c r="T720" s="1"/>
      <c r="U720" s="1"/>
      <c r="V720" s="1"/>
      <c r="W720" s="1"/>
      <c r="X720" s="1"/>
      <c r="Y720" s="1"/>
      <c r="Z720" s="1"/>
      <c r="AA720" s="1"/>
    </row>
    <row r="721" ht="12.75" customHeight="1">
      <c r="A721" s="1"/>
      <c r="B721" s="2"/>
      <c r="C721" s="3"/>
      <c r="D721" s="1"/>
      <c r="E721" s="3"/>
      <c r="F721" s="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9"/>
      <c r="S721" s="48"/>
      <c r="T721" s="1"/>
      <c r="U721" s="1"/>
      <c r="V721" s="1"/>
      <c r="W721" s="1"/>
      <c r="X721" s="1"/>
      <c r="Y721" s="1"/>
      <c r="Z721" s="1"/>
      <c r="AA721" s="1"/>
    </row>
    <row r="722" ht="12.75" customHeight="1">
      <c r="A722" s="1"/>
      <c r="B722" s="2"/>
      <c r="C722" s="3"/>
      <c r="D722" s="1"/>
      <c r="E722" s="3"/>
      <c r="F722" s="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9"/>
      <c r="S722" s="48"/>
      <c r="T722" s="1"/>
      <c r="U722" s="1"/>
      <c r="V722" s="1"/>
      <c r="W722" s="1"/>
      <c r="X722" s="1"/>
      <c r="Y722" s="1"/>
      <c r="Z722" s="1"/>
      <c r="AA722" s="1"/>
    </row>
    <row r="723" ht="12.75" customHeight="1">
      <c r="A723" s="1"/>
      <c r="B723" s="2"/>
      <c r="C723" s="3"/>
      <c r="D723" s="1"/>
      <c r="E723" s="3"/>
      <c r="F723" s="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9"/>
      <c r="S723" s="48"/>
      <c r="T723" s="1"/>
      <c r="U723" s="1"/>
      <c r="V723" s="1"/>
      <c r="W723" s="1"/>
      <c r="X723" s="1"/>
      <c r="Y723" s="1"/>
      <c r="Z723" s="1"/>
      <c r="AA723" s="1"/>
    </row>
    <row r="724" ht="12.75" customHeight="1">
      <c r="A724" s="1"/>
      <c r="B724" s="2"/>
      <c r="C724" s="3"/>
      <c r="D724" s="1"/>
      <c r="E724" s="3"/>
      <c r="F724" s="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9"/>
      <c r="S724" s="48"/>
      <c r="T724" s="1"/>
      <c r="U724" s="1"/>
      <c r="V724" s="1"/>
      <c r="W724" s="1"/>
      <c r="X724" s="1"/>
      <c r="Y724" s="1"/>
      <c r="Z724" s="1"/>
      <c r="AA724" s="1"/>
    </row>
    <row r="725" ht="12.75" customHeight="1">
      <c r="A725" s="1"/>
      <c r="B725" s="2"/>
      <c r="C725" s="3"/>
      <c r="D725" s="1"/>
      <c r="E725" s="3"/>
      <c r="F725" s="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9"/>
      <c r="S725" s="48"/>
      <c r="T725" s="1"/>
      <c r="U725" s="1"/>
      <c r="V725" s="1"/>
      <c r="W725" s="1"/>
      <c r="X725" s="1"/>
      <c r="Y725" s="1"/>
      <c r="Z725" s="1"/>
      <c r="AA725" s="1"/>
    </row>
    <row r="726" ht="12.75" customHeight="1">
      <c r="A726" s="1"/>
      <c r="B726" s="2"/>
      <c r="C726" s="3"/>
      <c r="D726" s="1"/>
      <c r="E726" s="3"/>
      <c r="F726" s="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9"/>
      <c r="S726" s="48"/>
      <c r="T726" s="1"/>
      <c r="U726" s="1"/>
      <c r="V726" s="1"/>
      <c r="W726" s="1"/>
      <c r="X726" s="1"/>
      <c r="Y726" s="1"/>
      <c r="Z726" s="1"/>
      <c r="AA726" s="1"/>
    </row>
    <row r="727" ht="12.75" customHeight="1">
      <c r="A727" s="1"/>
      <c r="B727" s="2"/>
      <c r="C727" s="3"/>
      <c r="D727" s="1"/>
      <c r="E727" s="3"/>
      <c r="F727" s="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9"/>
      <c r="S727" s="48"/>
      <c r="T727" s="1"/>
      <c r="U727" s="1"/>
      <c r="V727" s="1"/>
      <c r="W727" s="1"/>
      <c r="X727" s="1"/>
      <c r="Y727" s="1"/>
      <c r="Z727" s="1"/>
      <c r="AA727" s="1"/>
    </row>
    <row r="728" ht="12.75" customHeight="1">
      <c r="A728" s="1"/>
      <c r="B728" s="2"/>
      <c r="C728" s="3"/>
      <c r="D728" s="1"/>
      <c r="E728" s="3"/>
      <c r="F728" s="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9"/>
      <c r="S728" s="48"/>
      <c r="T728" s="1"/>
      <c r="U728" s="1"/>
      <c r="V728" s="1"/>
      <c r="W728" s="1"/>
      <c r="X728" s="1"/>
      <c r="Y728" s="1"/>
      <c r="Z728" s="1"/>
      <c r="AA728" s="1"/>
    </row>
    <row r="729" ht="12.75" customHeight="1">
      <c r="A729" s="1"/>
      <c r="B729" s="2"/>
      <c r="C729" s="3"/>
      <c r="D729" s="1"/>
      <c r="E729" s="3"/>
      <c r="F729" s="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9"/>
      <c r="S729" s="48"/>
      <c r="T729" s="1"/>
      <c r="U729" s="1"/>
      <c r="V729" s="1"/>
      <c r="W729" s="1"/>
      <c r="X729" s="1"/>
      <c r="Y729" s="1"/>
      <c r="Z729" s="1"/>
      <c r="AA729" s="1"/>
    </row>
    <row r="730" ht="12.75" customHeight="1">
      <c r="A730" s="1"/>
      <c r="B730" s="2"/>
      <c r="C730" s="3"/>
      <c r="D730" s="1"/>
      <c r="E730" s="3"/>
      <c r="F730" s="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9"/>
      <c r="S730" s="48"/>
      <c r="T730" s="1"/>
      <c r="U730" s="1"/>
      <c r="V730" s="1"/>
      <c r="W730" s="1"/>
      <c r="X730" s="1"/>
      <c r="Y730" s="1"/>
      <c r="Z730" s="1"/>
      <c r="AA730" s="1"/>
    </row>
    <row r="731" ht="12.75" customHeight="1">
      <c r="A731" s="1"/>
      <c r="B731" s="2"/>
      <c r="C731" s="3"/>
      <c r="D731" s="1"/>
      <c r="E731" s="3"/>
      <c r="F731" s="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9"/>
      <c r="S731" s="48"/>
      <c r="T731" s="1"/>
      <c r="U731" s="1"/>
      <c r="V731" s="1"/>
      <c r="W731" s="1"/>
      <c r="X731" s="1"/>
      <c r="Y731" s="1"/>
      <c r="Z731" s="1"/>
      <c r="AA731" s="1"/>
    </row>
    <row r="732" ht="12.75" customHeight="1">
      <c r="A732" s="1"/>
      <c r="B732" s="2"/>
      <c r="C732" s="3"/>
      <c r="D732" s="1"/>
      <c r="E732" s="3"/>
      <c r="F732" s="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9"/>
      <c r="S732" s="48"/>
      <c r="T732" s="1"/>
      <c r="U732" s="1"/>
      <c r="V732" s="1"/>
      <c r="W732" s="1"/>
      <c r="X732" s="1"/>
      <c r="Y732" s="1"/>
      <c r="Z732" s="1"/>
      <c r="AA732" s="1"/>
    </row>
    <row r="733" ht="12.75" customHeight="1">
      <c r="A733" s="1"/>
      <c r="B733" s="2"/>
      <c r="C733" s="3"/>
      <c r="D733" s="1"/>
      <c r="E733" s="3"/>
      <c r="F733" s="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9"/>
      <c r="S733" s="48"/>
      <c r="T733" s="1"/>
      <c r="U733" s="1"/>
      <c r="V733" s="1"/>
      <c r="W733" s="1"/>
      <c r="X733" s="1"/>
      <c r="Y733" s="1"/>
      <c r="Z733" s="1"/>
      <c r="AA733" s="1"/>
    </row>
    <row r="734" ht="12.75" customHeight="1">
      <c r="A734" s="1"/>
      <c r="B734" s="2"/>
      <c r="C734" s="3"/>
      <c r="D734" s="1"/>
      <c r="E734" s="3"/>
      <c r="F734" s="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9"/>
      <c r="S734" s="48"/>
      <c r="T734" s="1"/>
      <c r="U734" s="1"/>
      <c r="V734" s="1"/>
      <c r="W734" s="1"/>
      <c r="X734" s="1"/>
      <c r="Y734" s="1"/>
      <c r="Z734" s="1"/>
      <c r="AA734" s="1"/>
    </row>
    <row r="735" ht="12.75" customHeight="1">
      <c r="A735" s="1"/>
      <c r="B735" s="2"/>
      <c r="C735" s="3"/>
      <c r="D735" s="1"/>
      <c r="E735" s="3"/>
      <c r="F735" s="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9"/>
      <c r="S735" s="48"/>
      <c r="T735" s="1"/>
      <c r="U735" s="1"/>
      <c r="V735" s="1"/>
      <c r="W735" s="1"/>
      <c r="X735" s="1"/>
      <c r="Y735" s="1"/>
      <c r="Z735" s="1"/>
      <c r="AA735" s="1"/>
    </row>
    <row r="736" ht="12.75" customHeight="1">
      <c r="A736" s="1"/>
      <c r="B736" s="2"/>
      <c r="C736" s="3"/>
      <c r="D736" s="1"/>
      <c r="E736" s="3"/>
      <c r="F736" s="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9"/>
      <c r="S736" s="48"/>
      <c r="T736" s="1"/>
      <c r="U736" s="1"/>
      <c r="V736" s="1"/>
      <c r="W736" s="1"/>
      <c r="X736" s="1"/>
      <c r="Y736" s="1"/>
      <c r="Z736" s="1"/>
      <c r="AA736" s="1"/>
    </row>
    <row r="737" ht="12.75" customHeight="1">
      <c r="A737" s="1"/>
      <c r="B737" s="2"/>
      <c r="C737" s="3"/>
      <c r="D737" s="1"/>
      <c r="E737" s="3"/>
      <c r="F737" s="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9"/>
      <c r="S737" s="48"/>
      <c r="T737" s="1"/>
      <c r="U737" s="1"/>
      <c r="V737" s="1"/>
      <c r="W737" s="1"/>
      <c r="X737" s="1"/>
      <c r="Y737" s="1"/>
      <c r="Z737" s="1"/>
      <c r="AA737" s="1"/>
    </row>
    <row r="738" ht="12.75" customHeight="1">
      <c r="A738" s="1"/>
      <c r="B738" s="2"/>
      <c r="C738" s="3"/>
      <c r="D738" s="1"/>
      <c r="E738" s="3"/>
      <c r="F738" s="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9"/>
      <c r="S738" s="48"/>
      <c r="T738" s="1"/>
      <c r="U738" s="1"/>
      <c r="V738" s="1"/>
      <c r="W738" s="1"/>
      <c r="X738" s="1"/>
      <c r="Y738" s="1"/>
      <c r="Z738" s="1"/>
      <c r="AA738" s="1"/>
    </row>
    <row r="739" ht="12.75" customHeight="1">
      <c r="A739" s="1"/>
      <c r="B739" s="2"/>
      <c r="C739" s="3"/>
      <c r="D739" s="1"/>
      <c r="E739" s="3"/>
      <c r="F739" s="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9"/>
      <c r="S739" s="48"/>
      <c r="T739" s="1"/>
      <c r="U739" s="1"/>
      <c r="V739" s="1"/>
      <c r="W739" s="1"/>
      <c r="X739" s="1"/>
      <c r="Y739" s="1"/>
      <c r="Z739" s="1"/>
      <c r="AA739" s="1"/>
    </row>
    <row r="740" ht="12.75" customHeight="1">
      <c r="A740" s="1"/>
      <c r="B740" s="2"/>
      <c r="C740" s="3"/>
      <c r="D740" s="1"/>
      <c r="E740" s="3"/>
      <c r="F740" s="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9"/>
      <c r="S740" s="48"/>
      <c r="T740" s="1"/>
      <c r="U740" s="1"/>
      <c r="V740" s="1"/>
      <c r="W740" s="1"/>
      <c r="X740" s="1"/>
      <c r="Y740" s="1"/>
      <c r="Z740" s="1"/>
      <c r="AA740" s="1"/>
    </row>
    <row r="741" ht="12.75" customHeight="1">
      <c r="A741" s="1"/>
      <c r="B741" s="2"/>
      <c r="C741" s="3"/>
      <c r="D741" s="1"/>
      <c r="E741" s="3"/>
      <c r="F741" s="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9"/>
      <c r="S741" s="48"/>
      <c r="T741" s="1"/>
      <c r="U741" s="1"/>
      <c r="V741" s="1"/>
      <c r="W741" s="1"/>
      <c r="X741" s="1"/>
      <c r="Y741" s="1"/>
      <c r="Z741" s="1"/>
      <c r="AA741" s="1"/>
    </row>
    <row r="742" ht="12.75" customHeight="1">
      <c r="A742" s="1"/>
      <c r="B742" s="2"/>
      <c r="C742" s="3"/>
      <c r="D742" s="1"/>
      <c r="E742" s="3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9"/>
      <c r="S742" s="48"/>
      <c r="T742" s="1"/>
      <c r="U742" s="1"/>
      <c r="V742" s="1"/>
      <c r="W742" s="1"/>
      <c r="X742" s="1"/>
      <c r="Y742" s="1"/>
      <c r="Z742" s="1"/>
      <c r="AA742" s="1"/>
    </row>
    <row r="743" ht="12.75" customHeight="1">
      <c r="A743" s="1"/>
      <c r="B743" s="2"/>
      <c r="C743" s="3"/>
      <c r="D743" s="1"/>
      <c r="E743" s="3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9"/>
      <c r="S743" s="48"/>
      <c r="T743" s="1"/>
      <c r="U743" s="1"/>
      <c r="V743" s="1"/>
      <c r="W743" s="1"/>
      <c r="X743" s="1"/>
      <c r="Y743" s="1"/>
      <c r="Z743" s="1"/>
      <c r="AA743" s="1"/>
    </row>
    <row r="744" ht="12.75" customHeight="1">
      <c r="A744" s="1"/>
      <c r="B744" s="2"/>
      <c r="C744" s="3"/>
      <c r="D744" s="1"/>
      <c r="E744" s="3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9"/>
      <c r="S744" s="48"/>
      <c r="T744" s="1"/>
      <c r="U744" s="1"/>
      <c r="V744" s="1"/>
      <c r="W744" s="1"/>
      <c r="X744" s="1"/>
      <c r="Y744" s="1"/>
      <c r="Z744" s="1"/>
      <c r="AA744" s="1"/>
    </row>
    <row r="745" ht="12.75" customHeight="1">
      <c r="A745" s="1"/>
      <c r="B745" s="2"/>
      <c r="C745" s="3"/>
      <c r="D745" s="1"/>
      <c r="E745" s="3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9"/>
      <c r="S745" s="48"/>
      <c r="T745" s="1"/>
      <c r="U745" s="1"/>
      <c r="V745" s="1"/>
      <c r="W745" s="1"/>
      <c r="X745" s="1"/>
      <c r="Y745" s="1"/>
      <c r="Z745" s="1"/>
      <c r="AA745" s="1"/>
    </row>
    <row r="746" ht="12.75" customHeight="1">
      <c r="A746" s="1"/>
      <c r="B746" s="2"/>
      <c r="C746" s="3"/>
      <c r="D746" s="1"/>
      <c r="E746" s="3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9"/>
      <c r="S746" s="48"/>
      <c r="T746" s="1"/>
      <c r="U746" s="1"/>
      <c r="V746" s="1"/>
      <c r="W746" s="1"/>
      <c r="X746" s="1"/>
      <c r="Y746" s="1"/>
      <c r="Z746" s="1"/>
      <c r="AA746" s="1"/>
    </row>
    <row r="747" ht="12.75" customHeight="1">
      <c r="A747" s="1"/>
      <c r="B747" s="2"/>
      <c r="C747" s="3"/>
      <c r="D747" s="1"/>
      <c r="E747" s="3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9"/>
      <c r="S747" s="48"/>
      <c r="T747" s="1"/>
      <c r="U747" s="1"/>
      <c r="V747" s="1"/>
      <c r="W747" s="1"/>
      <c r="X747" s="1"/>
      <c r="Y747" s="1"/>
      <c r="Z747" s="1"/>
      <c r="AA747" s="1"/>
    </row>
    <row r="748" ht="12.75" customHeight="1">
      <c r="A748" s="1"/>
      <c r="B748" s="2"/>
      <c r="C748" s="3"/>
      <c r="D748" s="1"/>
      <c r="E748" s="3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9"/>
      <c r="S748" s="48"/>
      <c r="T748" s="1"/>
      <c r="U748" s="1"/>
      <c r="V748" s="1"/>
      <c r="W748" s="1"/>
      <c r="X748" s="1"/>
      <c r="Y748" s="1"/>
      <c r="Z748" s="1"/>
      <c r="AA748" s="1"/>
    </row>
    <row r="749" ht="12.75" customHeight="1">
      <c r="A749" s="1"/>
      <c r="B749" s="2"/>
      <c r="C749" s="3"/>
      <c r="D749" s="1"/>
      <c r="E749" s="3"/>
      <c r="F749" s="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9"/>
      <c r="S749" s="48"/>
      <c r="T749" s="1"/>
      <c r="U749" s="1"/>
      <c r="V749" s="1"/>
      <c r="W749" s="1"/>
      <c r="X749" s="1"/>
      <c r="Y749" s="1"/>
      <c r="Z749" s="1"/>
      <c r="AA749" s="1"/>
    </row>
    <row r="750" ht="12.75" customHeight="1">
      <c r="A750" s="1"/>
      <c r="B750" s="2"/>
      <c r="C750" s="3"/>
      <c r="D750" s="1"/>
      <c r="E750" s="3"/>
      <c r="F750" s="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9"/>
      <c r="S750" s="48"/>
      <c r="T750" s="1"/>
      <c r="U750" s="1"/>
      <c r="V750" s="1"/>
      <c r="W750" s="1"/>
      <c r="X750" s="1"/>
      <c r="Y750" s="1"/>
      <c r="Z750" s="1"/>
      <c r="AA750" s="1"/>
    </row>
    <row r="751" ht="12.75" customHeight="1">
      <c r="A751" s="1"/>
      <c r="B751" s="2"/>
      <c r="C751" s="3"/>
      <c r="D751" s="1"/>
      <c r="E751" s="3"/>
      <c r="F751" s="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9"/>
      <c r="S751" s="48"/>
      <c r="T751" s="1"/>
      <c r="U751" s="1"/>
      <c r="V751" s="1"/>
      <c r="W751" s="1"/>
      <c r="X751" s="1"/>
      <c r="Y751" s="1"/>
      <c r="Z751" s="1"/>
      <c r="AA751" s="1"/>
    </row>
    <row r="752" ht="12.75" customHeight="1">
      <c r="A752" s="1"/>
      <c r="B752" s="2"/>
      <c r="C752" s="3"/>
      <c r="D752" s="1"/>
      <c r="E752" s="3"/>
      <c r="F752" s="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9"/>
      <c r="S752" s="48"/>
      <c r="T752" s="1"/>
      <c r="U752" s="1"/>
      <c r="V752" s="1"/>
      <c r="W752" s="1"/>
      <c r="X752" s="1"/>
      <c r="Y752" s="1"/>
      <c r="Z752" s="1"/>
      <c r="AA752" s="1"/>
    </row>
    <row r="753" ht="12.75" customHeight="1">
      <c r="A753" s="1"/>
      <c r="B753" s="2"/>
      <c r="C753" s="3"/>
      <c r="D753" s="1"/>
      <c r="E753" s="3"/>
      <c r="F753" s="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9"/>
      <c r="S753" s="48"/>
      <c r="T753" s="1"/>
      <c r="U753" s="1"/>
      <c r="V753" s="1"/>
      <c r="W753" s="1"/>
      <c r="X753" s="1"/>
      <c r="Y753" s="1"/>
      <c r="Z753" s="1"/>
      <c r="AA753" s="1"/>
    </row>
    <row r="754" ht="12.75" customHeight="1">
      <c r="A754" s="1"/>
      <c r="B754" s="2"/>
      <c r="C754" s="3"/>
      <c r="D754" s="1"/>
      <c r="E754" s="3"/>
      <c r="F754" s="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9"/>
      <c r="S754" s="48"/>
      <c r="T754" s="1"/>
      <c r="U754" s="1"/>
      <c r="V754" s="1"/>
      <c r="W754" s="1"/>
      <c r="X754" s="1"/>
      <c r="Y754" s="1"/>
      <c r="Z754" s="1"/>
      <c r="AA754" s="1"/>
    </row>
    <row r="755" ht="12.75" customHeight="1">
      <c r="A755" s="1"/>
      <c r="B755" s="2"/>
      <c r="C755" s="3"/>
      <c r="D755" s="1"/>
      <c r="E755" s="3"/>
      <c r="F755" s="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9"/>
      <c r="S755" s="48"/>
      <c r="T755" s="1"/>
      <c r="U755" s="1"/>
      <c r="V755" s="1"/>
      <c r="W755" s="1"/>
      <c r="X755" s="1"/>
      <c r="Y755" s="1"/>
      <c r="Z755" s="1"/>
      <c r="AA755" s="1"/>
    </row>
    <row r="756" ht="12.75" customHeight="1">
      <c r="A756" s="1"/>
      <c r="B756" s="2"/>
      <c r="C756" s="3"/>
      <c r="D756" s="1"/>
      <c r="E756" s="3"/>
      <c r="F756" s="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9"/>
      <c r="S756" s="48"/>
      <c r="T756" s="1"/>
      <c r="U756" s="1"/>
      <c r="V756" s="1"/>
      <c r="W756" s="1"/>
      <c r="X756" s="1"/>
      <c r="Y756" s="1"/>
      <c r="Z756" s="1"/>
      <c r="AA756" s="1"/>
    </row>
    <row r="757" ht="12.75" customHeight="1">
      <c r="A757" s="1"/>
      <c r="B757" s="2"/>
      <c r="C757" s="3"/>
      <c r="D757" s="1"/>
      <c r="E757" s="3"/>
      <c r="F757" s="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9"/>
      <c r="S757" s="48"/>
      <c r="T757" s="1"/>
      <c r="U757" s="1"/>
      <c r="V757" s="1"/>
      <c r="W757" s="1"/>
      <c r="X757" s="1"/>
      <c r="Y757" s="1"/>
      <c r="Z757" s="1"/>
      <c r="AA757" s="1"/>
    </row>
    <row r="758" ht="12.75" customHeight="1">
      <c r="A758" s="1"/>
      <c r="B758" s="2"/>
      <c r="C758" s="3"/>
      <c r="D758" s="1"/>
      <c r="E758" s="3"/>
      <c r="F758" s="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9"/>
      <c r="S758" s="48"/>
      <c r="T758" s="1"/>
      <c r="U758" s="1"/>
      <c r="V758" s="1"/>
      <c r="W758" s="1"/>
      <c r="X758" s="1"/>
      <c r="Y758" s="1"/>
      <c r="Z758" s="1"/>
      <c r="AA758" s="1"/>
    </row>
    <row r="759" ht="12.75" customHeight="1">
      <c r="A759" s="1"/>
      <c r="B759" s="2"/>
      <c r="C759" s="3"/>
      <c r="D759" s="1"/>
      <c r="E759" s="3"/>
      <c r="F759" s="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9"/>
      <c r="S759" s="48"/>
      <c r="T759" s="1"/>
      <c r="U759" s="1"/>
      <c r="V759" s="1"/>
      <c r="W759" s="1"/>
      <c r="X759" s="1"/>
      <c r="Y759" s="1"/>
      <c r="Z759" s="1"/>
      <c r="AA759" s="1"/>
    </row>
    <row r="760" ht="12.75" customHeight="1">
      <c r="A760" s="1"/>
      <c r="B760" s="2"/>
      <c r="C760" s="3"/>
      <c r="D760" s="1"/>
      <c r="E760" s="3"/>
      <c r="F760" s="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9"/>
      <c r="S760" s="48"/>
      <c r="T760" s="1"/>
      <c r="U760" s="1"/>
      <c r="V760" s="1"/>
      <c r="W760" s="1"/>
      <c r="X760" s="1"/>
      <c r="Y760" s="1"/>
      <c r="Z760" s="1"/>
      <c r="AA760" s="1"/>
    </row>
    <row r="761" ht="12.75" customHeight="1">
      <c r="A761" s="1"/>
      <c r="B761" s="2"/>
      <c r="C761" s="3"/>
      <c r="D761" s="1"/>
      <c r="E761" s="3"/>
      <c r="F761" s="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9"/>
      <c r="S761" s="48"/>
      <c r="T761" s="1"/>
      <c r="U761" s="1"/>
      <c r="V761" s="1"/>
      <c r="W761" s="1"/>
      <c r="X761" s="1"/>
      <c r="Y761" s="1"/>
      <c r="Z761" s="1"/>
      <c r="AA761" s="1"/>
    </row>
    <row r="762" ht="12.75" customHeight="1">
      <c r="A762" s="1"/>
      <c r="B762" s="2"/>
      <c r="C762" s="3"/>
      <c r="D762" s="1"/>
      <c r="E762" s="3"/>
      <c r="F762" s="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9"/>
      <c r="S762" s="48"/>
      <c r="T762" s="1"/>
      <c r="U762" s="1"/>
      <c r="V762" s="1"/>
      <c r="W762" s="1"/>
      <c r="X762" s="1"/>
      <c r="Y762" s="1"/>
      <c r="Z762" s="1"/>
      <c r="AA762" s="1"/>
    </row>
    <row r="763" ht="12.75" customHeight="1">
      <c r="A763" s="1"/>
      <c r="B763" s="2"/>
      <c r="C763" s="3"/>
      <c r="D763" s="1"/>
      <c r="E763" s="3"/>
      <c r="F763" s="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9"/>
      <c r="S763" s="48"/>
      <c r="T763" s="1"/>
      <c r="U763" s="1"/>
      <c r="V763" s="1"/>
      <c r="W763" s="1"/>
      <c r="X763" s="1"/>
      <c r="Y763" s="1"/>
      <c r="Z763" s="1"/>
      <c r="AA763" s="1"/>
    </row>
    <row r="764" ht="12.75" customHeight="1">
      <c r="A764" s="1"/>
      <c r="B764" s="2"/>
      <c r="C764" s="3"/>
      <c r="D764" s="1"/>
      <c r="E764" s="3"/>
      <c r="F764" s="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9"/>
      <c r="S764" s="48"/>
      <c r="T764" s="1"/>
      <c r="U764" s="1"/>
      <c r="V764" s="1"/>
      <c r="W764" s="1"/>
      <c r="X764" s="1"/>
      <c r="Y764" s="1"/>
      <c r="Z764" s="1"/>
      <c r="AA764" s="1"/>
    </row>
    <row r="765" ht="12.75" customHeight="1">
      <c r="A765" s="1"/>
      <c r="B765" s="2"/>
      <c r="C765" s="3"/>
      <c r="D765" s="1"/>
      <c r="E765" s="3"/>
      <c r="F765" s="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9"/>
      <c r="S765" s="48"/>
      <c r="T765" s="1"/>
      <c r="U765" s="1"/>
      <c r="V765" s="1"/>
      <c r="W765" s="1"/>
      <c r="X765" s="1"/>
      <c r="Y765" s="1"/>
      <c r="Z765" s="1"/>
      <c r="AA765" s="1"/>
    </row>
    <row r="766" ht="12.75" customHeight="1">
      <c r="A766" s="1"/>
      <c r="B766" s="2"/>
      <c r="C766" s="3"/>
      <c r="D766" s="1"/>
      <c r="E766" s="3"/>
      <c r="F766" s="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9"/>
      <c r="S766" s="48"/>
      <c r="T766" s="1"/>
      <c r="U766" s="1"/>
      <c r="V766" s="1"/>
      <c r="W766" s="1"/>
      <c r="X766" s="1"/>
      <c r="Y766" s="1"/>
      <c r="Z766" s="1"/>
      <c r="AA766" s="1"/>
    </row>
    <row r="767" ht="12.75" customHeight="1">
      <c r="A767" s="1"/>
      <c r="B767" s="2"/>
      <c r="C767" s="3"/>
      <c r="D767" s="1"/>
      <c r="E767" s="3"/>
      <c r="F767" s="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9"/>
      <c r="S767" s="48"/>
      <c r="T767" s="1"/>
      <c r="U767" s="1"/>
      <c r="V767" s="1"/>
      <c r="W767" s="1"/>
      <c r="X767" s="1"/>
      <c r="Y767" s="1"/>
      <c r="Z767" s="1"/>
      <c r="AA767" s="1"/>
    </row>
    <row r="768" ht="12.75" customHeight="1">
      <c r="A768" s="1"/>
      <c r="B768" s="2"/>
      <c r="C768" s="3"/>
      <c r="D768" s="1"/>
      <c r="E768" s="3"/>
      <c r="F768" s="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9"/>
      <c r="S768" s="48"/>
      <c r="T768" s="1"/>
      <c r="U768" s="1"/>
      <c r="V768" s="1"/>
      <c r="W768" s="1"/>
      <c r="X768" s="1"/>
      <c r="Y768" s="1"/>
      <c r="Z768" s="1"/>
      <c r="AA768" s="1"/>
    </row>
    <row r="769" ht="12.75" customHeight="1">
      <c r="A769" s="1"/>
      <c r="B769" s="2"/>
      <c r="C769" s="3"/>
      <c r="D769" s="1"/>
      <c r="E769" s="3"/>
      <c r="F769" s="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9"/>
      <c r="S769" s="48"/>
      <c r="T769" s="1"/>
      <c r="U769" s="1"/>
      <c r="V769" s="1"/>
      <c r="W769" s="1"/>
      <c r="X769" s="1"/>
      <c r="Y769" s="1"/>
      <c r="Z769" s="1"/>
      <c r="AA769" s="1"/>
    </row>
    <row r="770" ht="12.75" customHeight="1">
      <c r="A770" s="1"/>
      <c r="B770" s="2"/>
      <c r="C770" s="3"/>
      <c r="D770" s="1"/>
      <c r="E770" s="3"/>
      <c r="F770" s="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9"/>
      <c r="S770" s="48"/>
      <c r="T770" s="1"/>
      <c r="U770" s="1"/>
      <c r="V770" s="1"/>
      <c r="W770" s="1"/>
      <c r="X770" s="1"/>
      <c r="Y770" s="1"/>
      <c r="Z770" s="1"/>
      <c r="AA770" s="1"/>
    </row>
    <row r="771" ht="12.75" customHeight="1">
      <c r="A771" s="1"/>
      <c r="B771" s="2"/>
      <c r="C771" s="3"/>
      <c r="D771" s="1"/>
      <c r="E771" s="3"/>
      <c r="F771" s="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9"/>
      <c r="S771" s="48"/>
      <c r="T771" s="1"/>
      <c r="U771" s="1"/>
      <c r="V771" s="1"/>
      <c r="W771" s="1"/>
      <c r="X771" s="1"/>
      <c r="Y771" s="1"/>
      <c r="Z771" s="1"/>
      <c r="AA771" s="1"/>
    </row>
    <row r="772" ht="12.75" customHeight="1">
      <c r="A772" s="1"/>
      <c r="B772" s="2"/>
      <c r="C772" s="3"/>
      <c r="D772" s="1"/>
      <c r="E772" s="3"/>
      <c r="F772" s="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9"/>
      <c r="S772" s="48"/>
      <c r="T772" s="1"/>
      <c r="U772" s="1"/>
      <c r="V772" s="1"/>
      <c r="W772" s="1"/>
      <c r="X772" s="1"/>
      <c r="Y772" s="1"/>
      <c r="Z772" s="1"/>
      <c r="AA772" s="1"/>
    </row>
    <row r="773" ht="12.75" customHeight="1">
      <c r="A773" s="1"/>
      <c r="B773" s="2"/>
      <c r="C773" s="3"/>
      <c r="D773" s="1"/>
      <c r="E773" s="3"/>
      <c r="F773" s="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9"/>
      <c r="S773" s="48"/>
      <c r="T773" s="1"/>
      <c r="U773" s="1"/>
      <c r="V773" s="1"/>
      <c r="W773" s="1"/>
      <c r="X773" s="1"/>
      <c r="Y773" s="1"/>
      <c r="Z773" s="1"/>
      <c r="AA773" s="1"/>
    </row>
    <row r="774" ht="12.75" customHeight="1">
      <c r="A774" s="1"/>
      <c r="B774" s="2"/>
      <c r="C774" s="3"/>
      <c r="D774" s="1"/>
      <c r="E774" s="3"/>
      <c r="F774" s="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9"/>
      <c r="S774" s="48"/>
      <c r="T774" s="1"/>
      <c r="U774" s="1"/>
      <c r="V774" s="1"/>
      <c r="W774" s="1"/>
      <c r="X774" s="1"/>
      <c r="Y774" s="1"/>
      <c r="Z774" s="1"/>
      <c r="AA774" s="1"/>
    </row>
    <row r="775" ht="12.75" customHeight="1">
      <c r="A775" s="1"/>
      <c r="B775" s="2"/>
      <c r="C775" s="3"/>
      <c r="D775" s="1"/>
      <c r="E775" s="3"/>
      <c r="F775" s="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9"/>
      <c r="S775" s="48"/>
      <c r="T775" s="1"/>
      <c r="U775" s="1"/>
      <c r="V775" s="1"/>
      <c r="W775" s="1"/>
      <c r="X775" s="1"/>
      <c r="Y775" s="1"/>
      <c r="Z775" s="1"/>
      <c r="AA775" s="1"/>
    </row>
    <row r="776" ht="12.75" customHeight="1">
      <c r="A776" s="1"/>
      <c r="B776" s="2"/>
      <c r="C776" s="3"/>
      <c r="D776" s="1"/>
      <c r="E776" s="3"/>
      <c r="F776" s="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9"/>
      <c r="S776" s="48"/>
      <c r="T776" s="1"/>
      <c r="U776" s="1"/>
      <c r="V776" s="1"/>
      <c r="W776" s="1"/>
      <c r="X776" s="1"/>
      <c r="Y776" s="1"/>
      <c r="Z776" s="1"/>
      <c r="AA776" s="1"/>
    </row>
    <row r="777" ht="12.75" customHeight="1">
      <c r="A777" s="1"/>
      <c r="B777" s="2"/>
      <c r="C777" s="3"/>
      <c r="D777" s="1"/>
      <c r="E777" s="3"/>
      <c r="F777" s="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9"/>
      <c r="S777" s="48"/>
      <c r="T777" s="1"/>
      <c r="U777" s="1"/>
      <c r="V777" s="1"/>
      <c r="W777" s="1"/>
      <c r="X777" s="1"/>
      <c r="Y777" s="1"/>
      <c r="Z777" s="1"/>
      <c r="AA777" s="1"/>
    </row>
    <row r="778" ht="12.75" customHeight="1">
      <c r="A778" s="1"/>
      <c r="B778" s="2"/>
      <c r="C778" s="3"/>
      <c r="D778" s="1"/>
      <c r="E778" s="3"/>
      <c r="F778" s="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9"/>
      <c r="S778" s="48"/>
      <c r="T778" s="1"/>
      <c r="U778" s="1"/>
      <c r="V778" s="1"/>
      <c r="W778" s="1"/>
      <c r="X778" s="1"/>
      <c r="Y778" s="1"/>
      <c r="Z778" s="1"/>
      <c r="AA778" s="1"/>
    </row>
    <row r="779" ht="12.75" customHeight="1">
      <c r="A779" s="1"/>
      <c r="B779" s="2"/>
      <c r="C779" s="3"/>
      <c r="D779" s="1"/>
      <c r="E779" s="3"/>
      <c r="F779" s="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9"/>
      <c r="S779" s="48"/>
      <c r="T779" s="1"/>
      <c r="U779" s="1"/>
      <c r="V779" s="1"/>
      <c r="W779" s="1"/>
      <c r="X779" s="1"/>
      <c r="Y779" s="1"/>
      <c r="Z779" s="1"/>
      <c r="AA779" s="1"/>
    </row>
    <row r="780" ht="12.75" customHeight="1">
      <c r="A780" s="1"/>
      <c r="B780" s="2"/>
      <c r="C780" s="3"/>
      <c r="D780" s="1"/>
      <c r="E780" s="3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9"/>
      <c r="S780" s="48"/>
      <c r="T780" s="1"/>
      <c r="U780" s="1"/>
      <c r="V780" s="1"/>
      <c r="W780" s="1"/>
      <c r="X780" s="1"/>
      <c r="Y780" s="1"/>
      <c r="Z780" s="1"/>
      <c r="AA780" s="1"/>
    </row>
    <row r="781" ht="12.75" customHeight="1">
      <c r="A781" s="1"/>
      <c r="B781" s="2"/>
      <c r="C781" s="3"/>
      <c r="D781" s="1"/>
      <c r="E781" s="3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9"/>
      <c r="S781" s="48"/>
      <c r="T781" s="1"/>
      <c r="U781" s="1"/>
      <c r="V781" s="1"/>
      <c r="W781" s="1"/>
      <c r="X781" s="1"/>
      <c r="Y781" s="1"/>
      <c r="Z781" s="1"/>
      <c r="AA781" s="1"/>
    </row>
    <row r="782" ht="12.75" customHeight="1">
      <c r="A782" s="1"/>
      <c r="B782" s="2"/>
      <c r="C782" s="3"/>
      <c r="D782" s="1"/>
      <c r="E782" s="3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9"/>
      <c r="S782" s="48"/>
      <c r="T782" s="1"/>
      <c r="U782" s="1"/>
      <c r="V782" s="1"/>
      <c r="W782" s="1"/>
      <c r="X782" s="1"/>
      <c r="Y782" s="1"/>
      <c r="Z782" s="1"/>
      <c r="AA782" s="1"/>
    </row>
    <row r="783" ht="12.75" customHeight="1">
      <c r="A783" s="1"/>
      <c r="B783" s="2"/>
      <c r="C783" s="3"/>
      <c r="D783" s="1"/>
      <c r="E783" s="3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9"/>
      <c r="S783" s="48"/>
      <c r="T783" s="1"/>
      <c r="U783" s="1"/>
      <c r="V783" s="1"/>
      <c r="W783" s="1"/>
      <c r="X783" s="1"/>
      <c r="Y783" s="1"/>
      <c r="Z783" s="1"/>
      <c r="AA783" s="1"/>
    </row>
    <row r="784" ht="12.75" customHeight="1">
      <c r="A784" s="1"/>
      <c r="B784" s="2"/>
      <c r="C784" s="3"/>
      <c r="D784" s="1"/>
      <c r="E784" s="3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9"/>
      <c r="S784" s="48"/>
      <c r="T784" s="1"/>
      <c r="U784" s="1"/>
      <c r="V784" s="1"/>
      <c r="W784" s="1"/>
      <c r="X784" s="1"/>
      <c r="Y784" s="1"/>
      <c r="Z784" s="1"/>
      <c r="AA784" s="1"/>
    </row>
    <row r="785" ht="12.75" customHeight="1">
      <c r="A785" s="1"/>
      <c r="B785" s="2"/>
      <c r="C785" s="3"/>
      <c r="D785" s="1"/>
      <c r="E785" s="3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9"/>
      <c r="S785" s="48"/>
      <c r="T785" s="1"/>
      <c r="U785" s="1"/>
      <c r="V785" s="1"/>
      <c r="W785" s="1"/>
      <c r="X785" s="1"/>
      <c r="Y785" s="1"/>
      <c r="Z785" s="1"/>
      <c r="AA785" s="1"/>
    </row>
    <row r="786" ht="12.75" customHeight="1">
      <c r="A786" s="1"/>
      <c r="B786" s="2"/>
      <c r="C786" s="3"/>
      <c r="D786" s="1"/>
      <c r="E786" s="3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9"/>
      <c r="S786" s="48"/>
      <c r="T786" s="1"/>
      <c r="U786" s="1"/>
      <c r="V786" s="1"/>
      <c r="W786" s="1"/>
      <c r="X786" s="1"/>
      <c r="Y786" s="1"/>
      <c r="Z786" s="1"/>
      <c r="AA786" s="1"/>
    </row>
    <row r="787" ht="12.75" customHeight="1">
      <c r="A787" s="1"/>
      <c r="B787" s="2"/>
      <c r="C787" s="3"/>
      <c r="D787" s="1"/>
      <c r="E787" s="3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9"/>
      <c r="S787" s="48"/>
      <c r="T787" s="1"/>
      <c r="U787" s="1"/>
      <c r="V787" s="1"/>
      <c r="W787" s="1"/>
      <c r="X787" s="1"/>
      <c r="Y787" s="1"/>
      <c r="Z787" s="1"/>
      <c r="AA787" s="1"/>
    </row>
    <row r="788" ht="12.75" customHeight="1">
      <c r="A788" s="1"/>
      <c r="B788" s="2"/>
      <c r="C788" s="3"/>
      <c r="D788" s="1"/>
      <c r="E788" s="3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9"/>
      <c r="S788" s="48"/>
      <c r="T788" s="1"/>
      <c r="U788" s="1"/>
      <c r="V788" s="1"/>
      <c r="W788" s="1"/>
      <c r="X788" s="1"/>
      <c r="Y788" s="1"/>
      <c r="Z788" s="1"/>
      <c r="AA788" s="1"/>
    </row>
    <row r="789" ht="12.75" customHeight="1">
      <c r="A789" s="1"/>
      <c r="B789" s="2"/>
      <c r="C789" s="3"/>
      <c r="D789" s="1"/>
      <c r="E789" s="3"/>
      <c r="F789" s="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9"/>
      <c r="S789" s="48"/>
      <c r="T789" s="1"/>
      <c r="U789" s="1"/>
      <c r="V789" s="1"/>
      <c r="W789" s="1"/>
      <c r="X789" s="1"/>
      <c r="Y789" s="1"/>
      <c r="Z789" s="1"/>
      <c r="AA789" s="1"/>
    </row>
    <row r="790" ht="12.75" customHeight="1">
      <c r="A790" s="1"/>
      <c r="B790" s="2"/>
      <c r="C790" s="3"/>
      <c r="D790" s="1"/>
      <c r="E790" s="3"/>
      <c r="F790" s="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9"/>
      <c r="S790" s="48"/>
      <c r="T790" s="1"/>
      <c r="U790" s="1"/>
      <c r="V790" s="1"/>
      <c r="W790" s="1"/>
      <c r="X790" s="1"/>
      <c r="Y790" s="1"/>
      <c r="Z790" s="1"/>
      <c r="AA790" s="1"/>
    </row>
    <row r="791" ht="12.75" customHeight="1">
      <c r="A791" s="1"/>
      <c r="B791" s="2"/>
      <c r="C791" s="3"/>
      <c r="D791" s="1"/>
      <c r="E791" s="3"/>
      <c r="F791" s="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9"/>
      <c r="S791" s="48"/>
      <c r="T791" s="1"/>
      <c r="U791" s="1"/>
      <c r="V791" s="1"/>
      <c r="W791" s="1"/>
      <c r="X791" s="1"/>
      <c r="Y791" s="1"/>
      <c r="Z791" s="1"/>
      <c r="AA791" s="1"/>
    </row>
    <row r="792" ht="12.75" customHeight="1">
      <c r="A792" s="1"/>
      <c r="B792" s="2"/>
      <c r="C792" s="3"/>
      <c r="D792" s="1"/>
      <c r="E792" s="3"/>
      <c r="F792" s="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9"/>
      <c r="S792" s="48"/>
      <c r="T792" s="1"/>
      <c r="U792" s="1"/>
      <c r="V792" s="1"/>
      <c r="W792" s="1"/>
      <c r="X792" s="1"/>
      <c r="Y792" s="1"/>
      <c r="Z792" s="1"/>
      <c r="AA792" s="1"/>
    </row>
    <row r="793" ht="12.75" customHeight="1">
      <c r="A793" s="1"/>
      <c r="B793" s="2"/>
      <c r="C793" s="3"/>
      <c r="D793" s="1"/>
      <c r="E793" s="3"/>
      <c r="F793" s="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9"/>
      <c r="S793" s="48"/>
      <c r="T793" s="1"/>
      <c r="U793" s="1"/>
      <c r="V793" s="1"/>
      <c r="W793" s="1"/>
      <c r="X793" s="1"/>
      <c r="Y793" s="1"/>
      <c r="Z793" s="1"/>
      <c r="AA793" s="1"/>
    </row>
    <row r="794" ht="12.75" customHeight="1">
      <c r="A794" s="1"/>
      <c r="B794" s="2"/>
      <c r="C794" s="3"/>
      <c r="D794" s="1"/>
      <c r="E794" s="3"/>
      <c r="F794" s="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9"/>
      <c r="S794" s="48"/>
      <c r="T794" s="1"/>
      <c r="U794" s="1"/>
      <c r="V794" s="1"/>
      <c r="W794" s="1"/>
      <c r="X794" s="1"/>
      <c r="Y794" s="1"/>
      <c r="Z794" s="1"/>
      <c r="AA794" s="1"/>
    </row>
    <row r="795" ht="12.75" customHeight="1">
      <c r="A795" s="1"/>
      <c r="B795" s="2"/>
      <c r="C795" s="3"/>
      <c r="D795" s="1"/>
      <c r="E795" s="3"/>
      <c r="F795" s="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9"/>
      <c r="S795" s="48"/>
      <c r="T795" s="1"/>
      <c r="U795" s="1"/>
      <c r="V795" s="1"/>
      <c r="W795" s="1"/>
      <c r="X795" s="1"/>
      <c r="Y795" s="1"/>
      <c r="Z795" s="1"/>
      <c r="AA795" s="1"/>
    </row>
    <row r="796" ht="12.75" customHeight="1">
      <c r="A796" s="1"/>
      <c r="B796" s="2"/>
      <c r="C796" s="3"/>
      <c r="D796" s="1"/>
      <c r="E796" s="3"/>
      <c r="F796" s="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9"/>
      <c r="S796" s="48"/>
      <c r="T796" s="1"/>
      <c r="U796" s="1"/>
      <c r="V796" s="1"/>
      <c r="W796" s="1"/>
      <c r="X796" s="1"/>
      <c r="Y796" s="1"/>
      <c r="Z796" s="1"/>
      <c r="AA796" s="1"/>
    </row>
    <row r="797" ht="12.75" customHeight="1">
      <c r="A797" s="1"/>
      <c r="B797" s="2"/>
      <c r="C797" s="3"/>
      <c r="D797" s="1"/>
      <c r="E797" s="3"/>
      <c r="F797" s="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9"/>
      <c r="S797" s="48"/>
      <c r="T797" s="1"/>
      <c r="U797" s="1"/>
      <c r="V797" s="1"/>
      <c r="W797" s="1"/>
      <c r="X797" s="1"/>
      <c r="Y797" s="1"/>
      <c r="Z797" s="1"/>
      <c r="AA797" s="1"/>
    </row>
    <row r="798" ht="12.75" customHeight="1">
      <c r="A798" s="1"/>
      <c r="B798" s="2"/>
      <c r="C798" s="3"/>
      <c r="D798" s="1"/>
      <c r="E798" s="3"/>
      <c r="F798" s="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9"/>
      <c r="S798" s="48"/>
      <c r="T798" s="1"/>
      <c r="U798" s="1"/>
      <c r="V798" s="1"/>
      <c r="W798" s="1"/>
      <c r="X798" s="1"/>
      <c r="Y798" s="1"/>
      <c r="Z798" s="1"/>
      <c r="AA798" s="1"/>
    </row>
    <row r="799" ht="12.75" customHeight="1">
      <c r="A799" s="1"/>
      <c r="B799" s="2"/>
      <c r="C799" s="3"/>
      <c r="D799" s="1"/>
      <c r="E799" s="3"/>
      <c r="F799" s="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9"/>
      <c r="S799" s="48"/>
      <c r="T799" s="1"/>
      <c r="U799" s="1"/>
      <c r="V799" s="1"/>
      <c r="W799" s="1"/>
      <c r="X799" s="1"/>
      <c r="Y799" s="1"/>
      <c r="Z799" s="1"/>
      <c r="AA799" s="1"/>
    </row>
    <row r="800" ht="12.75" customHeight="1">
      <c r="A800" s="1"/>
      <c r="B800" s="2"/>
      <c r="C800" s="3"/>
      <c r="D800" s="1"/>
      <c r="E800" s="3"/>
      <c r="F800" s="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9"/>
      <c r="S800" s="48"/>
      <c r="T800" s="1"/>
      <c r="U800" s="1"/>
      <c r="V800" s="1"/>
      <c r="W800" s="1"/>
      <c r="X800" s="1"/>
      <c r="Y800" s="1"/>
      <c r="Z800" s="1"/>
      <c r="AA800" s="1"/>
    </row>
    <row r="801" ht="12.75" customHeight="1">
      <c r="A801" s="1"/>
      <c r="B801" s="2"/>
      <c r="C801" s="3"/>
      <c r="D801" s="1"/>
      <c r="E801" s="3"/>
      <c r="F801" s="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9"/>
      <c r="S801" s="48"/>
      <c r="T801" s="1"/>
      <c r="U801" s="1"/>
      <c r="V801" s="1"/>
      <c r="W801" s="1"/>
      <c r="X801" s="1"/>
      <c r="Y801" s="1"/>
      <c r="Z801" s="1"/>
      <c r="AA801" s="1"/>
    </row>
    <row r="802" ht="12.75" customHeight="1">
      <c r="A802" s="1"/>
      <c r="B802" s="2"/>
      <c r="C802" s="3"/>
      <c r="D802" s="1"/>
      <c r="E802" s="3"/>
      <c r="F802" s="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9"/>
      <c r="S802" s="48"/>
      <c r="T802" s="1"/>
      <c r="U802" s="1"/>
      <c r="V802" s="1"/>
      <c r="W802" s="1"/>
      <c r="X802" s="1"/>
      <c r="Y802" s="1"/>
      <c r="Z802" s="1"/>
      <c r="AA802" s="1"/>
    </row>
    <row r="803" ht="12.75" customHeight="1">
      <c r="A803" s="1"/>
      <c r="B803" s="2"/>
      <c r="C803" s="3"/>
      <c r="D803" s="1"/>
      <c r="E803" s="3"/>
      <c r="F803" s="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9"/>
      <c r="S803" s="48"/>
      <c r="T803" s="1"/>
      <c r="U803" s="1"/>
      <c r="V803" s="1"/>
      <c r="W803" s="1"/>
      <c r="X803" s="1"/>
      <c r="Y803" s="1"/>
      <c r="Z803" s="1"/>
      <c r="AA803" s="1"/>
    </row>
    <row r="804" ht="12.75" customHeight="1">
      <c r="A804" s="1"/>
      <c r="B804" s="2"/>
      <c r="C804" s="3"/>
      <c r="D804" s="1"/>
      <c r="E804" s="3"/>
      <c r="F804" s="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9"/>
      <c r="S804" s="48"/>
      <c r="T804" s="1"/>
      <c r="U804" s="1"/>
      <c r="V804" s="1"/>
      <c r="W804" s="1"/>
      <c r="X804" s="1"/>
      <c r="Y804" s="1"/>
      <c r="Z804" s="1"/>
      <c r="AA804" s="1"/>
    </row>
    <row r="805" ht="12.75" customHeight="1">
      <c r="A805" s="1"/>
      <c r="B805" s="2"/>
      <c r="C805" s="3"/>
      <c r="D805" s="1"/>
      <c r="E805" s="3"/>
      <c r="F805" s="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9"/>
      <c r="S805" s="48"/>
      <c r="T805" s="1"/>
      <c r="U805" s="1"/>
      <c r="V805" s="1"/>
      <c r="W805" s="1"/>
      <c r="X805" s="1"/>
      <c r="Y805" s="1"/>
      <c r="Z805" s="1"/>
      <c r="AA805" s="1"/>
    </row>
    <row r="806" ht="12.75" customHeight="1">
      <c r="A806" s="1"/>
      <c r="B806" s="2"/>
      <c r="C806" s="3"/>
      <c r="D806" s="1"/>
      <c r="E806" s="3"/>
      <c r="F806" s="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9"/>
      <c r="S806" s="48"/>
      <c r="T806" s="1"/>
      <c r="U806" s="1"/>
      <c r="V806" s="1"/>
      <c r="W806" s="1"/>
      <c r="X806" s="1"/>
      <c r="Y806" s="1"/>
      <c r="Z806" s="1"/>
      <c r="AA806" s="1"/>
    </row>
    <row r="807" ht="12.75" customHeight="1">
      <c r="A807" s="1"/>
      <c r="B807" s="2"/>
      <c r="C807" s="3"/>
      <c r="D807" s="1"/>
      <c r="E807" s="3"/>
      <c r="F807" s="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9"/>
      <c r="S807" s="48"/>
      <c r="T807" s="1"/>
      <c r="U807" s="1"/>
      <c r="V807" s="1"/>
      <c r="W807" s="1"/>
      <c r="X807" s="1"/>
      <c r="Y807" s="1"/>
      <c r="Z807" s="1"/>
      <c r="AA807" s="1"/>
    </row>
    <row r="808" ht="12.75" customHeight="1">
      <c r="A808" s="1"/>
      <c r="B808" s="2"/>
      <c r="C808" s="3"/>
      <c r="D808" s="1"/>
      <c r="E808" s="3"/>
      <c r="F808" s="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9"/>
      <c r="S808" s="48"/>
      <c r="T808" s="1"/>
      <c r="U808" s="1"/>
      <c r="V808" s="1"/>
      <c r="W808" s="1"/>
      <c r="X808" s="1"/>
      <c r="Y808" s="1"/>
      <c r="Z808" s="1"/>
      <c r="AA808" s="1"/>
    </row>
    <row r="809" ht="12.75" customHeight="1">
      <c r="A809" s="1"/>
      <c r="B809" s="2"/>
      <c r="C809" s="3"/>
      <c r="D809" s="1"/>
      <c r="E809" s="3"/>
      <c r="F809" s="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9"/>
      <c r="S809" s="48"/>
      <c r="T809" s="1"/>
      <c r="U809" s="1"/>
      <c r="V809" s="1"/>
      <c r="W809" s="1"/>
      <c r="X809" s="1"/>
      <c r="Y809" s="1"/>
      <c r="Z809" s="1"/>
      <c r="AA809" s="1"/>
    </row>
    <row r="810" ht="12.75" customHeight="1">
      <c r="A810" s="1"/>
      <c r="B810" s="2"/>
      <c r="C810" s="3"/>
      <c r="D810" s="1"/>
      <c r="E810" s="3"/>
      <c r="F810" s="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9"/>
      <c r="S810" s="48"/>
      <c r="T810" s="1"/>
      <c r="U810" s="1"/>
      <c r="V810" s="1"/>
      <c r="W810" s="1"/>
      <c r="X810" s="1"/>
      <c r="Y810" s="1"/>
      <c r="Z810" s="1"/>
      <c r="AA810" s="1"/>
    </row>
    <row r="811" ht="12.75" customHeight="1">
      <c r="A811" s="1"/>
      <c r="B811" s="2"/>
      <c r="C811" s="3"/>
      <c r="D811" s="1"/>
      <c r="E811" s="3"/>
      <c r="F811" s="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9"/>
      <c r="S811" s="48"/>
      <c r="T811" s="1"/>
      <c r="U811" s="1"/>
      <c r="V811" s="1"/>
      <c r="W811" s="1"/>
      <c r="X811" s="1"/>
      <c r="Y811" s="1"/>
      <c r="Z811" s="1"/>
      <c r="AA811" s="1"/>
    </row>
    <row r="812" ht="12.75" customHeight="1">
      <c r="A812" s="1"/>
      <c r="B812" s="2"/>
      <c r="C812" s="3"/>
      <c r="D812" s="1"/>
      <c r="E812" s="3"/>
      <c r="F812" s="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9"/>
      <c r="S812" s="48"/>
      <c r="T812" s="1"/>
      <c r="U812" s="1"/>
      <c r="V812" s="1"/>
      <c r="W812" s="1"/>
      <c r="X812" s="1"/>
      <c r="Y812" s="1"/>
      <c r="Z812" s="1"/>
      <c r="AA812" s="1"/>
    </row>
    <row r="813" ht="12.75" customHeight="1">
      <c r="A813" s="1"/>
      <c r="B813" s="2"/>
      <c r="C813" s="3"/>
      <c r="D813" s="1"/>
      <c r="E813" s="3"/>
      <c r="F813" s="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9"/>
      <c r="S813" s="48"/>
      <c r="T813" s="1"/>
      <c r="U813" s="1"/>
      <c r="V813" s="1"/>
      <c r="W813" s="1"/>
      <c r="X813" s="1"/>
      <c r="Y813" s="1"/>
      <c r="Z813" s="1"/>
      <c r="AA813" s="1"/>
    </row>
    <row r="814" ht="12.75" customHeight="1">
      <c r="A814" s="1"/>
      <c r="B814" s="2"/>
      <c r="C814" s="3"/>
      <c r="D814" s="1"/>
      <c r="E814" s="3"/>
      <c r="F814" s="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9"/>
      <c r="S814" s="48"/>
      <c r="T814" s="1"/>
      <c r="U814" s="1"/>
      <c r="V814" s="1"/>
      <c r="W814" s="1"/>
      <c r="X814" s="1"/>
      <c r="Y814" s="1"/>
      <c r="Z814" s="1"/>
      <c r="AA814" s="1"/>
    </row>
    <row r="815" ht="12.75" customHeight="1">
      <c r="A815" s="1"/>
      <c r="B815" s="2"/>
      <c r="C815" s="3"/>
      <c r="D815" s="1"/>
      <c r="E815" s="3"/>
      <c r="F815" s="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9"/>
      <c r="S815" s="48"/>
      <c r="T815" s="1"/>
      <c r="U815" s="1"/>
      <c r="V815" s="1"/>
      <c r="W815" s="1"/>
      <c r="X815" s="1"/>
      <c r="Y815" s="1"/>
      <c r="Z815" s="1"/>
      <c r="AA815" s="1"/>
    </row>
    <row r="816" ht="12.75" customHeight="1">
      <c r="A816" s="1"/>
      <c r="B816" s="2"/>
      <c r="C816" s="3"/>
      <c r="D816" s="1"/>
      <c r="E816" s="3"/>
      <c r="F816" s="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9"/>
      <c r="S816" s="48"/>
      <c r="T816" s="1"/>
      <c r="U816" s="1"/>
      <c r="V816" s="1"/>
      <c r="W816" s="1"/>
      <c r="X816" s="1"/>
      <c r="Y816" s="1"/>
      <c r="Z816" s="1"/>
      <c r="AA816" s="1"/>
    </row>
    <row r="817" ht="12.75" customHeight="1">
      <c r="A817" s="1"/>
      <c r="B817" s="2"/>
      <c r="C817" s="3"/>
      <c r="D817" s="1"/>
      <c r="E817" s="3"/>
      <c r="F817" s="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9"/>
      <c r="S817" s="48"/>
      <c r="T817" s="1"/>
      <c r="U817" s="1"/>
      <c r="V817" s="1"/>
      <c r="W817" s="1"/>
      <c r="X817" s="1"/>
      <c r="Y817" s="1"/>
      <c r="Z817" s="1"/>
      <c r="AA817" s="1"/>
    </row>
    <row r="818" ht="12.75" customHeight="1">
      <c r="A818" s="1"/>
      <c r="B818" s="2"/>
      <c r="C818" s="3"/>
      <c r="D818" s="1"/>
      <c r="E818" s="3"/>
      <c r="F818" s="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9"/>
      <c r="S818" s="48"/>
      <c r="T818" s="1"/>
      <c r="U818" s="1"/>
      <c r="V818" s="1"/>
      <c r="W818" s="1"/>
      <c r="X818" s="1"/>
      <c r="Y818" s="1"/>
      <c r="Z818" s="1"/>
      <c r="AA818" s="1"/>
    </row>
    <row r="819" ht="12.75" customHeight="1">
      <c r="A819" s="1"/>
      <c r="B819" s="2"/>
      <c r="C819" s="3"/>
      <c r="D819" s="1"/>
      <c r="E819" s="3"/>
      <c r="F819" s="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9"/>
      <c r="S819" s="48"/>
      <c r="T819" s="1"/>
      <c r="U819" s="1"/>
      <c r="V819" s="1"/>
      <c r="W819" s="1"/>
      <c r="X819" s="1"/>
      <c r="Y819" s="1"/>
      <c r="Z819" s="1"/>
      <c r="AA819" s="1"/>
    </row>
    <row r="820" ht="12.75" customHeight="1">
      <c r="A820" s="1"/>
      <c r="B820" s="2"/>
      <c r="C820" s="3"/>
      <c r="D820" s="1"/>
      <c r="E820" s="3"/>
      <c r="F820" s="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9"/>
      <c r="S820" s="48"/>
      <c r="T820" s="1"/>
      <c r="U820" s="1"/>
      <c r="V820" s="1"/>
      <c r="W820" s="1"/>
      <c r="X820" s="1"/>
      <c r="Y820" s="1"/>
      <c r="Z820" s="1"/>
      <c r="AA820" s="1"/>
    </row>
    <row r="821" ht="12.75" customHeight="1">
      <c r="A821" s="1"/>
      <c r="B821" s="2"/>
      <c r="C821" s="3"/>
      <c r="D821" s="1"/>
      <c r="E821" s="3"/>
      <c r="F821" s="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9"/>
      <c r="S821" s="48"/>
      <c r="T821" s="1"/>
      <c r="U821" s="1"/>
      <c r="V821" s="1"/>
      <c r="W821" s="1"/>
      <c r="X821" s="1"/>
      <c r="Y821" s="1"/>
      <c r="Z821" s="1"/>
      <c r="AA821" s="1"/>
    </row>
    <row r="822" ht="12.75" customHeight="1">
      <c r="A822" s="1"/>
      <c r="B822" s="2"/>
      <c r="C822" s="3"/>
      <c r="D822" s="1"/>
      <c r="E822" s="3"/>
      <c r="F822" s="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9"/>
      <c r="S822" s="48"/>
      <c r="T822" s="1"/>
      <c r="U822" s="1"/>
      <c r="V822" s="1"/>
      <c r="W822" s="1"/>
      <c r="X822" s="1"/>
      <c r="Y822" s="1"/>
      <c r="Z822" s="1"/>
      <c r="AA822" s="1"/>
    </row>
    <row r="823" ht="12.75" customHeight="1">
      <c r="A823" s="1"/>
      <c r="B823" s="2"/>
      <c r="C823" s="3"/>
      <c r="D823" s="1"/>
      <c r="E823" s="3"/>
      <c r="F823" s="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9"/>
      <c r="S823" s="48"/>
      <c r="T823" s="1"/>
      <c r="U823" s="1"/>
      <c r="V823" s="1"/>
      <c r="W823" s="1"/>
      <c r="X823" s="1"/>
      <c r="Y823" s="1"/>
      <c r="Z823" s="1"/>
      <c r="AA823" s="1"/>
    </row>
    <row r="824" ht="12.75" customHeight="1">
      <c r="A824" s="1"/>
      <c r="B824" s="2"/>
      <c r="C824" s="3"/>
      <c r="D824" s="1"/>
      <c r="E824" s="3"/>
      <c r="F824" s="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9"/>
      <c r="S824" s="48"/>
      <c r="T824" s="1"/>
      <c r="U824" s="1"/>
      <c r="V824" s="1"/>
      <c r="W824" s="1"/>
      <c r="X824" s="1"/>
      <c r="Y824" s="1"/>
      <c r="Z824" s="1"/>
      <c r="AA824" s="1"/>
    </row>
    <row r="825" ht="12.75" customHeight="1">
      <c r="A825" s="1"/>
      <c r="B825" s="2"/>
      <c r="C825" s="3"/>
      <c r="D825" s="1"/>
      <c r="E825" s="3"/>
      <c r="F825" s="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9"/>
      <c r="S825" s="48"/>
      <c r="T825" s="1"/>
      <c r="U825" s="1"/>
      <c r="V825" s="1"/>
      <c r="W825" s="1"/>
      <c r="X825" s="1"/>
      <c r="Y825" s="1"/>
      <c r="Z825" s="1"/>
      <c r="AA825" s="1"/>
    </row>
    <row r="826" ht="12.75" customHeight="1">
      <c r="A826" s="1"/>
      <c r="B826" s="2"/>
      <c r="C826" s="3"/>
      <c r="D826" s="1"/>
      <c r="E826" s="3"/>
      <c r="F826" s="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9"/>
      <c r="S826" s="48"/>
      <c r="T826" s="1"/>
      <c r="U826" s="1"/>
      <c r="V826" s="1"/>
      <c r="W826" s="1"/>
      <c r="X826" s="1"/>
      <c r="Y826" s="1"/>
      <c r="Z826" s="1"/>
      <c r="AA826" s="1"/>
    </row>
    <row r="827" ht="12.75" customHeight="1">
      <c r="A827" s="1"/>
      <c r="B827" s="2"/>
      <c r="C827" s="3"/>
      <c r="D827" s="1"/>
      <c r="E827" s="3"/>
      <c r="F827" s="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9"/>
      <c r="S827" s="48"/>
      <c r="T827" s="1"/>
      <c r="U827" s="1"/>
      <c r="V827" s="1"/>
      <c r="W827" s="1"/>
      <c r="X827" s="1"/>
      <c r="Y827" s="1"/>
      <c r="Z827" s="1"/>
      <c r="AA827" s="1"/>
    </row>
    <row r="828" ht="12.75" customHeight="1">
      <c r="A828" s="1"/>
      <c r="B828" s="2"/>
      <c r="C828" s="3"/>
      <c r="D828" s="1"/>
      <c r="E828" s="3"/>
      <c r="F828" s="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9"/>
      <c r="S828" s="48"/>
      <c r="T828" s="1"/>
      <c r="U828" s="1"/>
      <c r="V828" s="1"/>
      <c r="W828" s="1"/>
      <c r="X828" s="1"/>
      <c r="Y828" s="1"/>
      <c r="Z828" s="1"/>
      <c r="AA828" s="1"/>
    </row>
    <row r="829" ht="12.75" customHeight="1">
      <c r="A829" s="1"/>
      <c r="B829" s="2"/>
      <c r="C829" s="3"/>
      <c r="D829" s="1"/>
      <c r="E829" s="3"/>
      <c r="F829" s="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9"/>
      <c r="S829" s="48"/>
      <c r="T829" s="1"/>
      <c r="U829" s="1"/>
      <c r="V829" s="1"/>
      <c r="W829" s="1"/>
      <c r="X829" s="1"/>
      <c r="Y829" s="1"/>
      <c r="Z829" s="1"/>
      <c r="AA829" s="1"/>
    </row>
    <row r="830" ht="12.75" customHeight="1">
      <c r="A830" s="1"/>
      <c r="B830" s="2"/>
      <c r="C830" s="3"/>
      <c r="D830" s="1"/>
      <c r="E830" s="3"/>
      <c r="F830" s="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9"/>
      <c r="S830" s="48"/>
      <c r="T830" s="1"/>
      <c r="U830" s="1"/>
      <c r="V830" s="1"/>
      <c r="W830" s="1"/>
      <c r="X830" s="1"/>
      <c r="Y830" s="1"/>
      <c r="Z830" s="1"/>
      <c r="AA830" s="1"/>
    </row>
    <row r="831" ht="12.75" customHeight="1">
      <c r="A831" s="1"/>
      <c r="B831" s="2"/>
      <c r="C831" s="3"/>
      <c r="D831" s="1"/>
      <c r="E831" s="3"/>
      <c r="F831" s="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9"/>
      <c r="S831" s="48"/>
      <c r="T831" s="1"/>
      <c r="U831" s="1"/>
      <c r="V831" s="1"/>
      <c r="W831" s="1"/>
      <c r="X831" s="1"/>
      <c r="Y831" s="1"/>
      <c r="Z831" s="1"/>
      <c r="AA831" s="1"/>
    </row>
    <row r="832" ht="12.75" customHeight="1">
      <c r="A832" s="1"/>
      <c r="B832" s="2"/>
      <c r="C832" s="3"/>
      <c r="D832" s="1"/>
      <c r="E832" s="3"/>
      <c r="F832" s="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9"/>
      <c r="S832" s="48"/>
      <c r="T832" s="1"/>
      <c r="U832" s="1"/>
      <c r="V832" s="1"/>
      <c r="W832" s="1"/>
      <c r="X832" s="1"/>
      <c r="Y832" s="1"/>
      <c r="Z832" s="1"/>
      <c r="AA832" s="1"/>
    </row>
    <row r="833" ht="12.75" customHeight="1">
      <c r="A833" s="1"/>
      <c r="B833" s="2"/>
      <c r="C833" s="3"/>
      <c r="D833" s="1"/>
      <c r="E833" s="3"/>
      <c r="F833" s="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9"/>
      <c r="S833" s="48"/>
      <c r="T833" s="1"/>
      <c r="U833" s="1"/>
      <c r="V833" s="1"/>
      <c r="W833" s="1"/>
      <c r="X833" s="1"/>
      <c r="Y833" s="1"/>
      <c r="Z833" s="1"/>
      <c r="AA833" s="1"/>
    </row>
    <row r="834" ht="12.75" customHeight="1">
      <c r="A834" s="1"/>
      <c r="B834" s="2"/>
      <c r="C834" s="3"/>
      <c r="D834" s="1"/>
      <c r="E834" s="3"/>
      <c r="F834" s="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9"/>
      <c r="S834" s="48"/>
      <c r="T834" s="1"/>
      <c r="U834" s="1"/>
      <c r="V834" s="1"/>
      <c r="W834" s="1"/>
      <c r="X834" s="1"/>
      <c r="Y834" s="1"/>
      <c r="Z834" s="1"/>
      <c r="AA834" s="1"/>
    </row>
    <row r="835" ht="12.75" customHeight="1">
      <c r="A835" s="1"/>
      <c r="B835" s="2"/>
      <c r="C835" s="3"/>
      <c r="D835" s="1"/>
      <c r="E835" s="3"/>
      <c r="F835" s="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9"/>
      <c r="S835" s="48"/>
      <c r="T835" s="1"/>
      <c r="U835" s="1"/>
      <c r="V835" s="1"/>
      <c r="W835" s="1"/>
      <c r="X835" s="1"/>
      <c r="Y835" s="1"/>
      <c r="Z835" s="1"/>
      <c r="AA835" s="1"/>
    </row>
    <row r="836" ht="12.75" customHeight="1">
      <c r="A836" s="1"/>
      <c r="B836" s="2"/>
      <c r="C836" s="3"/>
      <c r="D836" s="1"/>
      <c r="E836" s="3"/>
      <c r="F836" s="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9"/>
      <c r="S836" s="48"/>
      <c r="T836" s="1"/>
      <c r="U836" s="1"/>
      <c r="V836" s="1"/>
      <c r="W836" s="1"/>
      <c r="X836" s="1"/>
      <c r="Y836" s="1"/>
      <c r="Z836" s="1"/>
      <c r="AA836" s="1"/>
    </row>
    <row r="837" ht="12.75" customHeight="1">
      <c r="A837" s="1"/>
      <c r="B837" s="2"/>
      <c r="C837" s="3"/>
      <c r="D837" s="1"/>
      <c r="E837" s="3"/>
      <c r="F837" s="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9"/>
      <c r="S837" s="48"/>
      <c r="T837" s="1"/>
      <c r="U837" s="1"/>
      <c r="V837" s="1"/>
      <c r="W837" s="1"/>
      <c r="X837" s="1"/>
      <c r="Y837" s="1"/>
      <c r="Z837" s="1"/>
      <c r="AA837" s="1"/>
    </row>
    <row r="838" ht="12.75" customHeight="1">
      <c r="A838" s="1"/>
      <c r="B838" s="2"/>
      <c r="C838" s="3"/>
      <c r="D838" s="1"/>
      <c r="E838" s="3"/>
      <c r="F838" s="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9"/>
      <c r="S838" s="48"/>
      <c r="T838" s="1"/>
      <c r="U838" s="1"/>
      <c r="V838" s="1"/>
      <c r="W838" s="1"/>
      <c r="X838" s="1"/>
      <c r="Y838" s="1"/>
      <c r="Z838" s="1"/>
      <c r="AA838" s="1"/>
    </row>
    <row r="839" ht="12.75" customHeight="1">
      <c r="A839" s="1"/>
      <c r="B839" s="2"/>
      <c r="C839" s="3"/>
      <c r="D839" s="1"/>
      <c r="E839" s="3"/>
      <c r="F839" s="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9"/>
      <c r="S839" s="48"/>
      <c r="T839" s="1"/>
      <c r="U839" s="1"/>
      <c r="V839" s="1"/>
      <c r="W839" s="1"/>
      <c r="X839" s="1"/>
      <c r="Y839" s="1"/>
      <c r="Z839" s="1"/>
      <c r="AA839" s="1"/>
    </row>
    <row r="840" ht="12.75" customHeight="1">
      <c r="A840" s="1"/>
      <c r="B840" s="2"/>
      <c r="C840" s="3"/>
      <c r="D840" s="1"/>
      <c r="E840" s="3"/>
      <c r="F840" s="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9"/>
      <c r="S840" s="48"/>
      <c r="T840" s="1"/>
      <c r="U840" s="1"/>
      <c r="V840" s="1"/>
      <c r="W840" s="1"/>
      <c r="X840" s="1"/>
      <c r="Y840" s="1"/>
      <c r="Z840" s="1"/>
      <c r="AA840" s="1"/>
    </row>
    <row r="841" ht="12.75" customHeight="1">
      <c r="A841" s="1"/>
      <c r="B841" s="2"/>
      <c r="C841" s="3"/>
      <c r="D841" s="1"/>
      <c r="E841" s="3"/>
      <c r="F841" s="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9"/>
      <c r="S841" s="48"/>
      <c r="T841" s="1"/>
      <c r="U841" s="1"/>
      <c r="V841" s="1"/>
      <c r="W841" s="1"/>
      <c r="X841" s="1"/>
      <c r="Y841" s="1"/>
      <c r="Z841" s="1"/>
      <c r="AA841" s="1"/>
    </row>
    <row r="842" ht="12.75" customHeight="1">
      <c r="A842" s="1"/>
      <c r="B842" s="2"/>
      <c r="C842" s="3"/>
      <c r="D842" s="1"/>
      <c r="E842" s="3"/>
      <c r="F842" s="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9"/>
      <c r="S842" s="48"/>
      <c r="T842" s="1"/>
      <c r="U842" s="1"/>
      <c r="V842" s="1"/>
      <c r="W842" s="1"/>
      <c r="X842" s="1"/>
      <c r="Y842" s="1"/>
      <c r="Z842" s="1"/>
      <c r="AA842" s="1"/>
    </row>
    <row r="843" ht="12.75" customHeight="1">
      <c r="A843" s="1"/>
      <c r="B843" s="2"/>
      <c r="C843" s="3"/>
      <c r="D843" s="1"/>
      <c r="E843" s="3"/>
      <c r="F843" s="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9"/>
      <c r="S843" s="48"/>
      <c r="T843" s="1"/>
      <c r="U843" s="1"/>
      <c r="V843" s="1"/>
      <c r="W843" s="1"/>
      <c r="X843" s="1"/>
      <c r="Y843" s="1"/>
      <c r="Z843" s="1"/>
      <c r="AA843" s="1"/>
    </row>
    <row r="844" ht="12.75" customHeight="1">
      <c r="A844" s="1"/>
      <c r="B844" s="2"/>
      <c r="C844" s="3"/>
      <c r="D844" s="1"/>
      <c r="E844" s="3"/>
      <c r="F844" s="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9"/>
      <c r="S844" s="48"/>
      <c r="T844" s="1"/>
      <c r="U844" s="1"/>
      <c r="V844" s="1"/>
      <c r="W844" s="1"/>
      <c r="X844" s="1"/>
      <c r="Y844" s="1"/>
      <c r="Z844" s="1"/>
      <c r="AA844" s="1"/>
    </row>
    <row r="845" ht="12.75" customHeight="1">
      <c r="A845" s="1"/>
      <c r="B845" s="2"/>
      <c r="C845" s="3"/>
      <c r="D845" s="1"/>
      <c r="E845" s="3"/>
      <c r="F845" s="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9"/>
      <c r="S845" s="48"/>
      <c r="T845" s="1"/>
      <c r="U845" s="1"/>
      <c r="V845" s="1"/>
      <c r="W845" s="1"/>
      <c r="X845" s="1"/>
      <c r="Y845" s="1"/>
      <c r="Z845" s="1"/>
      <c r="AA845" s="1"/>
    </row>
    <row r="846" ht="12.75" customHeight="1">
      <c r="A846" s="1"/>
      <c r="B846" s="2"/>
      <c r="C846" s="3"/>
      <c r="D846" s="1"/>
      <c r="E846" s="3"/>
      <c r="F846" s="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9"/>
      <c r="S846" s="48"/>
      <c r="T846" s="1"/>
      <c r="U846" s="1"/>
      <c r="V846" s="1"/>
      <c r="W846" s="1"/>
      <c r="X846" s="1"/>
      <c r="Y846" s="1"/>
      <c r="Z846" s="1"/>
      <c r="AA846" s="1"/>
    </row>
    <row r="847" ht="12.75" customHeight="1">
      <c r="A847" s="1"/>
      <c r="B847" s="2"/>
      <c r="C847" s="3"/>
      <c r="D847" s="1"/>
      <c r="E847" s="3"/>
      <c r="F847" s="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9"/>
      <c r="S847" s="48"/>
      <c r="T847" s="1"/>
      <c r="U847" s="1"/>
      <c r="V847" s="1"/>
      <c r="W847" s="1"/>
      <c r="X847" s="1"/>
      <c r="Y847" s="1"/>
      <c r="Z847" s="1"/>
      <c r="AA847" s="1"/>
    </row>
    <row r="848" ht="12.75" customHeight="1">
      <c r="A848" s="1"/>
      <c r="B848" s="2"/>
      <c r="C848" s="3"/>
      <c r="D848" s="1"/>
      <c r="E848" s="3"/>
      <c r="F848" s="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9"/>
      <c r="S848" s="48"/>
      <c r="T848" s="1"/>
      <c r="U848" s="1"/>
      <c r="V848" s="1"/>
      <c r="W848" s="1"/>
      <c r="X848" s="1"/>
      <c r="Y848" s="1"/>
      <c r="Z848" s="1"/>
      <c r="AA848" s="1"/>
    </row>
    <row r="849" ht="12.75" customHeight="1">
      <c r="A849" s="1"/>
      <c r="B849" s="2"/>
      <c r="C849" s="3"/>
      <c r="D849" s="1"/>
      <c r="E849" s="3"/>
      <c r="F849" s="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9"/>
      <c r="S849" s="48"/>
      <c r="T849" s="1"/>
      <c r="U849" s="1"/>
      <c r="V849" s="1"/>
      <c r="W849" s="1"/>
      <c r="X849" s="1"/>
      <c r="Y849" s="1"/>
      <c r="Z849" s="1"/>
      <c r="AA849" s="1"/>
    </row>
    <row r="850" ht="12.75" customHeight="1">
      <c r="A850" s="1"/>
      <c r="B850" s="2"/>
      <c r="C850" s="3"/>
      <c r="D850" s="1"/>
      <c r="E850" s="3"/>
      <c r="F850" s="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9"/>
      <c r="S850" s="48"/>
      <c r="T850" s="1"/>
      <c r="U850" s="1"/>
      <c r="V850" s="1"/>
      <c r="W850" s="1"/>
      <c r="X850" s="1"/>
      <c r="Y850" s="1"/>
      <c r="Z850" s="1"/>
      <c r="AA850" s="1"/>
    </row>
    <row r="851" ht="12.75" customHeight="1">
      <c r="A851" s="1"/>
      <c r="B851" s="2"/>
      <c r="C851" s="3"/>
      <c r="D851" s="1"/>
      <c r="E851" s="3"/>
      <c r="F851" s="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9"/>
      <c r="S851" s="48"/>
      <c r="T851" s="1"/>
      <c r="U851" s="1"/>
      <c r="V851" s="1"/>
      <c r="W851" s="1"/>
      <c r="X851" s="1"/>
      <c r="Y851" s="1"/>
      <c r="Z851" s="1"/>
      <c r="AA851" s="1"/>
    </row>
    <row r="852" ht="12.75" customHeight="1">
      <c r="A852" s="1"/>
      <c r="B852" s="2"/>
      <c r="C852" s="3"/>
      <c r="D852" s="1"/>
      <c r="E852" s="3"/>
      <c r="F852" s="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9"/>
      <c r="S852" s="48"/>
      <c r="T852" s="1"/>
      <c r="U852" s="1"/>
      <c r="V852" s="1"/>
      <c r="W852" s="1"/>
      <c r="X852" s="1"/>
      <c r="Y852" s="1"/>
      <c r="Z852" s="1"/>
      <c r="AA852" s="1"/>
    </row>
    <row r="853" ht="12.75" customHeight="1">
      <c r="A853" s="1"/>
      <c r="B853" s="2"/>
      <c r="C853" s="3"/>
      <c r="D853" s="1"/>
      <c r="E853" s="3"/>
      <c r="F853" s="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9"/>
      <c r="S853" s="48"/>
      <c r="T853" s="1"/>
      <c r="U853" s="1"/>
      <c r="V853" s="1"/>
      <c r="W853" s="1"/>
      <c r="X853" s="1"/>
      <c r="Y853" s="1"/>
      <c r="Z853" s="1"/>
      <c r="AA853" s="1"/>
    </row>
    <row r="854" ht="12.75" customHeight="1">
      <c r="A854" s="1"/>
      <c r="B854" s="2"/>
      <c r="C854" s="3"/>
      <c r="D854" s="1"/>
      <c r="E854" s="3"/>
      <c r="F854" s="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9"/>
      <c r="S854" s="48"/>
      <c r="T854" s="1"/>
      <c r="U854" s="1"/>
      <c r="V854" s="1"/>
      <c r="W854" s="1"/>
      <c r="X854" s="1"/>
      <c r="Y854" s="1"/>
      <c r="Z854" s="1"/>
      <c r="AA854" s="1"/>
    </row>
    <row r="855" ht="12.75" customHeight="1">
      <c r="A855" s="1"/>
      <c r="B855" s="2"/>
      <c r="C855" s="3"/>
      <c r="D855" s="1"/>
      <c r="E855" s="3"/>
      <c r="F855" s="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9"/>
      <c r="S855" s="48"/>
      <c r="T855" s="1"/>
      <c r="U855" s="1"/>
      <c r="V855" s="1"/>
      <c r="W855" s="1"/>
      <c r="X855" s="1"/>
      <c r="Y855" s="1"/>
      <c r="Z855" s="1"/>
      <c r="AA855" s="1"/>
    </row>
    <row r="856" ht="12.75" customHeight="1">
      <c r="A856" s="1"/>
      <c r="B856" s="2"/>
      <c r="C856" s="3"/>
      <c r="D856" s="1"/>
      <c r="E856" s="3"/>
      <c r="F856" s="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9"/>
      <c r="S856" s="48"/>
      <c r="T856" s="1"/>
      <c r="U856" s="1"/>
      <c r="V856" s="1"/>
      <c r="W856" s="1"/>
      <c r="X856" s="1"/>
      <c r="Y856" s="1"/>
      <c r="Z856" s="1"/>
      <c r="AA856" s="1"/>
    </row>
    <row r="857" ht="12.75" customHeight="1">
      <c r="A857" s="1"/>
      <c r="B857" s="2"/>
      <c r="C857" s="3"/>
      <c r="D857" s="1"/>
      <c r="E857" s="3"/>
      <c r="F857" s="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9"/>
      <c r="S857" s="48"/>
      <c r="T857" s="1"/>
      <c r="U857" s="1"/>
      <c r="V857" s="1"/>
      <c r="W857" s="1"/>
      <c r="X857" s="1"/>
      <c r="Y857" s="1"/>
      <c r="Z857" s="1"/>
      <c r="AA857" s="1"/>
    </row>
    <row r="858" ht="12.75" customHeight="1">
      <c r="A858" s="1"/>
      <c r="B858" s="2"/>
      <c r="C858" s="3"/>
      <c r="D858" s="1"/>
      <c r="E858" s="3"/>
      <c r="F858" s="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9"/>
      <c r="S858" s="48"/>
      <c r="T858" s="1"/>
      <c r="U858" s="1"/>
      <c r="V858" s="1"/>
      <c r="W858" s="1"/>
      <c r="X858" s="1"/>
      <c r="Y858" s="1"/>
      <c r="Z858" s="1"/>
      <c r="AA858" s="1"/>
    </row>
    <row r="859" ht="12.75" customHeight="1">
      <c r="A859" s="1"/>
      <c r="B859" s="2"/>
      <c r="C859" s="3"/>
      <c r="D859" s="1"/>
      <c r="E859" s="3"/>
      <c r="F859" s="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9"/>
      <c r="S859" s="48"/>
      <c r="T859" s="1"/>
      <c r="U859" s="1"/>
      <c r="V859" s="1"/>
      <c r="W859" s="1"/>
      <c r="X859" s="1"/>
      <c r="Y859" s="1"/>
      <c r="Z859" s="1"/>
      <c r="AA859" s="1"/>
    </row>
    <row r="860" ht="12.75" customHeight="1">
      <c r="A860" s="1"/>
      <c r="B860" s="2"/>
      <c r="C860" s="3"/>
      <c r="D860" s="1"/>
      <c r="E860" s="3"/>
      <c r="F860" s="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9"/>
      <c r="S860" s="48"/>
      <c r="T860" s="1"/>
      <c r="U860" s="1"/>
      <c r="V860" s="1"/>
      <c r="W860" s="1"/>
      <c r="X860" s="1"/>
      <c r="Y860" s="1"/>
      <c r="Z860" s="1"/>
      <c r="AA860" s="1"/>
    </row>
    <row r="861" ht="12.75" customHeight="1">
      <c r="A861" s="1"/>
      <c r="B861" s="2"/>
      <c r="C861" s="3"/>
      <c r="D861" s="1"/>
      <c r="E861" s="3"/>
      <c r="F861" s="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9"/>
      <c r="S861" s="48"/>
      <c r="T861" s="1"/>
      <c r="U861" s="1"/>
      <c r="V861" s="1"/>
      <c r="W861" s="1"/>
      <c r="X861" s="1"/>
      <c r="Y861" s="1"/>
      <c r="Z861" s="1"/>
      <c r="AA861" s="1"/>
    </row>
    <row r="862" ht="12.75" customHeight="1">
      <c r="A862" s="1"/>
      <c r="B862" s="2"/>
      <c r="C862" s="3"/>
      <c r="D862" s="1"/>
      <c r="E862" s="3"/>
      <c r="F862" s="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9"/>
      <c r="S862" s="48"/>
      <c r="T862" s="1"/>
      <c r="U862" s="1"/>
      <c r="V862" s="1"/>
      <c r="W862" s="1"/>
      <c r="X862" s="1"/>
      <c r="Y862" s="1"/>
      <c r="Z862" s="1"/>
      <c r="AA862" s="1"/>
    </row>
    <row r="863" ht="12.75" customHeight="1">
      <c r="A863" s="1"/>
      <c r="B863" s="2"/>
      <c r="C863" s="3"/>
      <c r="D863" s="1"/>
      <c r="E863" s="3"/>
      <c r="F863" s="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9"/>
      <c r="S863" s="48"/>
      <c r="T863" s="1"/>
      <c r="U863" s="1"/>
      <c r="V863" s="1"/>
      <c r="W863" s="1"/>
      <c r="X863" s="1"/>
      <c r="Y863" s="1"/>
      <c r="Z863" s="1"/>
      <c r="AA863" s="1"/>
    </row>
    <row r="864" ht="12.75" customHeight="1">
      <c r="A864" s="1"/>
      <c r="B864" s="2"/>
      <c r="C864" s="3"/>
      <c r="D864" s="1"/>
      <c r="E864" s="3"/>
      <c r="F864" s="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9"/>
      <c r="S864" s="48"/>
      <c r="T864" s="1"/>
      <c r="U864" s="1"/>
      <c r="V864" s="1"/>
      <c r="W864" s="1"/>
      <c r="X864" s="1"/>
      <c r="Y864" s="1"/>
      <c r="Z864" s="1"/>
      <c r="AA864" s="1"/>
    </row>
    <row r="865" ht="12.75" customHeight="1">
      <c r="A865" s="1"/>
      <c r="B865" s="2"/>
      <c r="C865" s="3"/>
      <c r="D865" s="1"/>
      <c r="E865" s="3"/>
      <c r="F865" s="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9"/>
      <c r="S865" s="48"/>
      <c r="T865" s="1"/>
      <c r="U865" s="1"/>
      <c r="V865" s="1"/>
      <c r="W865" s="1"/>
      <c r="X865" s="1"/>
      <c r="Y865" s="1"/>
      <c r="Z865" s="1"/>
      <c r="AA865" s="1"/>
    </row>
    <row r="866" ht="12.75" customHeight="1">
      <c r="A866" s="1"/>
      <c r="B866" s="2"/>
      <c r="C866" s="3"/>
      <c r="D866" s="1"/>
      <c r="E866" s="3"/>
      <c r="F866" s="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9"/>
      <c r="S866" s="48"/>
      <c r="T866" s="1"/>
      <c r="U866" s="1"/>
      <c r="V866" s="1"/>
      <c r="W866" s="1"/>
      <c r="X866" s="1"/>
      <c r="Y866" s="1"/>
      <c r="Z866" s="1"/>
      <c r="AA866" s="1"/>
    </row>
    <row r="867" ht="12.75" customHeight="1">
      <c r="A867" s="1"/>
      <c r="B867" s="2"/>
      <c r="C867" s="3"/>
      <c r="D867" s="1"/>
      <c r="E867" s="3"/>
      <c r="F867" s="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9"/>
      <c r="S867" s="48"/>
      <c r="T867" s="1"/>
      <c r="U867" s="1"/>
      <c r="V867" s="1"/>
      <c r="W867" s="1"/>
      <c r="X867" s="1"/>
      <c r="Y867" s="1"/>
      <c r="Z867" s="1"/>
      <c r="AA867" s="1"/>
    </row>
    <row r="868" ht="12.75" customHeight="1">
      <c r="A868" s="1"/>
      <c r="B868" s="2"/>
      <c r="C868" s="3"/>
      <c r="D868" s="1"/>
      <c r="E868" s="3"/>
      <c r="F868" s="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9"/>
      <c r="S868" s="48"/>
      <c r="T868" s="1"/>
      <c r="U868" s="1"/>
      <c r="V868" s="1"/>
      <c r="W868" s="1"/>
      <c r="X868" s="1"/>
      <c r="Y868" s="1"/>
      <c r="Z868" s="1"/>
      <c r="AA868" s="1"/>
    </row>
    <row r="869" ht="12.75" customHeight="1">
      <c r="A869" s="1"/>
      <c r="B869" s="2"/>
      <c r="C869" s="3"/>
      <c r="D869" s="1"/>
      <c r="E869" s="3"/>
      <c r="F869" s="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9"/>
      <c r="S869" s="48"/>
      <c r="T869" s="1"/>
      <c r="U869" s="1"/>
      <c r="V869" s="1"/>
      <c r="W869" s="1"/>
      <c r="X869" s="1"/>
      <c r="Y869" s="1"/>
      <c r="Z869" s="1"/>
      <c r="AA869" s="1"/>
    </row>
    <row r="870" ht="12.75" customHeight="1">
      <c r="A870" s="1"/>
      <c r="B870" s="2"/>
      <c r="C870" s="3"/>
      <c r="D870" s="1"/>
      <c r="E870" s="3"/>
      <c r="F870" s="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9"/>
      <c r="S870" s="48"/>
      <c r="T870" s="1"/>
      <c r="U870" s="1"/>
      <c r="V870" s="1"/>
      <c r="W870" s="1"/>
      <c r="X870" s="1"/>
      <c r="Y870" s="1"/>
      <c r="Z870" s="1"/>
      <c r="AA870" s="1"/>
    </row>
    <row r="871" ht="12.75" customHeight="1">
      <c r="A871" s="1"/>
      <c r="B871" s="2"/>
      <c r="C871" s="3"/>
      <c r="D871" s="1"/>
      <c r="E871" s="3"/>
      <c r="F871" s="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9"/>
      <c r="S871" s="48"/>
      <c r="T871" s="1"/>
      <c r="U871" s="1"/>
      <c r="V871" s="1"/>
      <c r="W871" s="1"/>
      <c r="X871" s="1"/>
      <c r="Y871" s="1"/>
      <c r="Z871" s="1"/>
      <c r="AA871" s="1"/>
    </row>
    <row r="872" ht="12.75" customHeight="1">
      <c r="A872" s="1"/>
      <c r="B872" s="2"/>
      <c r="C872" s="3"/>
      <c r="D872" s="1"/>
      <c r="E872" s="3"/>
      <c r="F872" s="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9"/>
      <c r="S872" s="48"/>
      <c r="T872" s="1"/>
      <c r="U872" s="1"/>
      <c r="V872" s="1"/>
      <c r="W872" s="1"/>
      <c r="X872" s="1"/>
      <c r="Y872" s="1"/>
      <c r="Z872" s="1"/>
      <c r="AA872" s="1"/>
    </row>
    <row r="873" ht="12.75" customHeight="1">
      <c r="A873" s="1"/>
      <c r="B873" s="2"/>
      <c r="C873" s="3"/>
      <c r="D873" s="1"/>
      <c r="E873" s="3"/>
      <c r="F873" s="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9"/>
      <c r="S873" s="48"/>
      <c r="T873" s="1"/>
      <c r="U873" s="1"/>
      <c r="V873" s="1"/>
      <c r="W873" s="1"/>
      <c r="X873" s="1"/>
      <c r="Y873" s="1"/>
      <c r="Z873" s="1"/>
      <c r="AA873" s="1"/>
    </row>
    <row r="874" ht="12.75" customHeight="1">
      <c r="A874" s="1"/>
      <c r="B874" s="2"/>
      <c r="C874" s="3"/>
      <c r="D874" s="1"/>
      <c r="E874" s="3"/>
      <c r="F874" s="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9"/>
      <c r="S874" s="48"/>
      <c r="T874" s="1"/>
      <c r="U874" s="1"/>
      <c r="V874" s="1"/>
      <c r="W874" s="1"/>
      <c r="X874" s="1"/>
      <c r="Y874" s="1"/>
      <c r="Z874" s="1"/>
      <c r="AA874" s="1"/>
    </row>
    <row r="875" ht="12.75" customHeight="1">
      <c r="A875" s="1"/>
      <c r="B875" s="2"/>
      <c r="C875" s="3"/>
      <c r="D875" s="1"/>
      <c r="E875" s="3"/>
      <c r="F875" s="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9"/>
      <c r="S875" s="48"/>
      <c r="T875" s="1"/>
      <c r="U875" s="1"/>
      <c r="V875" s="1"/>
      <c r="W875" s="1"/>
      <c r="X875" s="1"/>
      <c r="Y875" s="1"/>
      <c r="Z875" s="1"/>
      <c r="AA875" s="1"/>
    </row>
    <row r="876" ht="12.75" customHeight="1">
      <c r="A876" s="1"/>
      <c r="B876" s="2"/>
      <c r="C876" s="3"/>
      <c r="D876" s="1"/>
      <c r="E876" s="3"/>
      <c r="F876" s="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9"/>
      <c r="S876" s="48"/>
      <c r="T876" s="1"/>
      <c r="U876" s="1"/>
      <c r="V876" s="1"/>
      <c r="W876" s="1"/>
      <c r="X876" s="1"/>
      <c r="Y876" s="1"/>
      <c r="Z876" s="1"/>
      <c r="AA876" s="1"/>
    </row>
    <row r="877" ht="12.75" customHeight="1">
      <c r="A877" s="1"/>
      <c r="B877" s="2"/>
      <c r="C877" s="3"/>
      <c r="D877" s="1"/>
      <c r="E877" s="3"/>
      <c r="F877" s="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9"/>
      <c r="S877" s="48"/>
      <c r="T877" s="1"/>
      <c r="U877" s="1"/>
      <c r="V877" s="1"/>
      <c r="W877" s="1"/>
      <c r="X877" s="1"/>
      <c r="Y877" s="1"/>
      <c r="Z877" s="1"/>
      <c r="AA877" s="1"/>
    </row>
    <row r="878" ht="12.75" customHeight="1">
      <c r="A878" s="1"/>
      <c r="B878" s="2"/>
      <c r="C878" s="3"/>
      <c r="D878" s="1"/>
      <c r="E878" s="3"/>
      <c r="F878" s="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9"/>
      <c r="S878" s="48"/>
      <c r="T878" s="1"/>
      <c r="U878" s="1"/>
      <c r="V878" s="1"/>
      <c r="W878" s="1"/>
      <c r="X878" s="1"/>
      <c r="Y878" s="1"/>
      <c r="Z878" s="1"/>
      <c r="AA878" s="1"/>
    </row>
    <row r="879" ht="12.75" customHeight="1">
      <c r="A879" s="1"/>
      <c r="B879" s="2"/>
      <c r="C879" s="3"/>
      <c r="D879" s="1"/>
      <c r="E879" s="3"/>
      <c r="F879" s="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9"/>
      <c r="S879" s="48"/>
      <c r="T879" s="1"/>
      <c r="U879" s="1"/>
      <c r="V879" s="1"/>
      <c r="W879" s="1"/>
      <c r="X879" s="1"/>
      <c r="Y879" s="1"/>
      <c r="Z879" s="1"/>
      <c r="AA879" s="1"/>
    </row>
    <row r="880" ht="12.75" customHeight="1">
      <c r="A880" s="1"/>
      <c r="B880" s="2"/>
      <c r="C880" s="3"/>
      <c r="D880" s="1"/>
      <c r="E880" s="3"/>
      <c r="F880" s="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9"/>
      <c r="S880" s="48"/>
      <c r="T880" s="1"/>
      <c r="U880" s="1"/>
      <c r="V880" s="1"/>
      <c r="W880" s="1"/>
      <c r="X880" s="1"/>
      <c r="Y880" s="1"/>
      <c r="Z880" s="1"/>
      <c r="AA880" s="1"/>
    </row>
    <row r="881" ht="12.75" customHeight="1">
      <c r="A881" s="1"/>
      <c r="B881" s="2"/>
      <c r="C881" s="3"/>
      <c r="D881" s="1"/>
      <c r="E881" s="3"/>
      <c r="F881" s="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9"/>
      <c r="S881" s="48"/>
      <c r="T881" s="1"/>
      <c r="U881" s="1"/>
      <c r="V881" s="1"/>
      <c r="W881" s="1"/>
      <c r="X881" s="1"/>
      <c r="Y881" s="1"/>
      <c r="Z881" s="1"/>
      <c r="AA881" s="1"/>
    </row>
    <row r="882" ht="12.75" customHeight="1">
      <c r="A882" s="1"/>
      <c r="B882" s="2"/>
      <c r="C882" s="3"/>
      <c r="D882" s="1"/>
      <c r="E882" s="3"/>
      <c r="F882" s="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9"/>
      <c r="S882" s="48"/>
      <c r="T882" s="1"/>
      <c r="U882" s="1"/>
      <c r="V882" s="1"/>
      <c r="W882" s="1"/>
      <c r="X882" s="1"/>
      <c r="Y882" s="1"/>
      <c r="Z882" s="1"/>
      <c r="AA882" s="1"/>
    </row>
    <row r="883" ht="12.75" customHeight="1">
      <c r="A883" s="1"/>
      <c r="B883" s="2"/>
      <c r="C883" s="3"/>
      <c r="D883" s="1"/>
      <c r="E883" s="3"/>
      <c r="F883" s="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9"/>
      <c r="S883" s="48"/>
      <c r="T883" s="1"/>
      <c r="U883" s="1"/>
      <c r="V883" s="1"/>
      <c r="W883" s="1"/>
      <c r="X883" s="1"/>
      <c r="Y883" s="1"/>
      <c r="Z883" s="1"/>
      <c r="AA883" s="1"/>
    </row>
    <row r="884" ht="12.75" customHeight="1">
      <c r="A884" s="1"/>
      <c r="B884" s="2"/>
      <c r="C884" s="3"/>
      <c r="D884" s="1"/>
      <c r="E884" s="3"/>
      <c r="F884" s="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9"/>
      <c r="S884" s="48"/>
      <c r="T884" s="1"/>
      <c r="U884" s="1"/>
      <c r="V884" s="1"/>
      <c r="W884" s="1"/>
      <c r="X884" s="1"/>
      <c r="Y884" s="1"/>
      <c r="Z884" s="1"/>
      <c r="AA884" s="1"/>
    </row>
    <row r="885" ht="12.75" customHeight="1">
      <c r="A885" s="1"/>
      <c r="B885" s="2"/>
      <c r="C885" s="3"/>
      <c r="D885" s="1"/>
      <c r="E885" s="3"/>
      <c r="F885" s="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9"/>
      <c r="S885" s="48"/>
      <c r="T885" s="1"/>
      <c r="U885" s="1"/>
      <c r="V885" s="1"/>
      <c r="W885" s="1"/>
      <c r="X885" s="1"/>
      <c r="Y885" s="1"/>
      <c r="Z885" s="1"/>
      <c r="AA885" s="1"/>
    </row>
    <row r="886" ht="12.75" customHeight="1">
      <c r="A886" s="1"/>
      <c r="B886" s="2"/>
      <c r="C886" s="3"/>
      <c r="D886" s="1"/>
      <c r="E886" s="3"/>
      <c r="F886" s="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9"/>
      <c r="S886" s="48"/>
      <c r="T886" s="1"/>
      <c r="U886" s="1"/>
      <c r="V886" s="1"/>
      <c r="W886" s="1"/>
      <c r="X886" s="1"/>
      <c r="Y886" s="1"/>
      <c r="Z886" s="1"/>
      <c r="AA886" s="1"/>
    </row>
    <row r="887" ht="12.75" customHeight="1">
      <c r="A887" s="1"/>
      <c r="B887" s="2"/>
      <c r="C887" s="3"/>
      <c r="D887" s="1"/>
      <c r="E887" s="3"/>
      <c r="F887" s="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9"/>
      <c r="S887" s="48"/>
      <c r="T887" s="1"/>
      <c r="U887" s="1"/>
      <c r="V887" s="1"/>
      <c r="W887" s="1"/>
      <c r="X887" s="1"/>
      <c r="Y887" s="1"/>
      <c r="Z887" s="1"/>
      <c r="AA887" s="1"/>
    </row>
    <row r="888" ht="12.75" customHeight="1">
      <c r="A888" s="1"/>
      <c r="B888" s="2"/>
      <c r="C888" s="3"/>
      <c r="D888" s="1"/>
      <c r="E888" s="3"/>
      <c r="F888" s="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9"/>
      <c r="S888" s="48"/>
      <c r="T888" s="1"/>
      <c r="U888" s="1"/>
      <c r="V888" s="1"/>
      <c r="W888" s="1"/>
      <c r="X888" s="1"/>
      <c r="Y888" s="1"/>
      <c r="Z888" s="1"/>
      <c r="AA888" s="1"/>
    </row>
    <row r="889" ht="12.75" customHeight="1">
      <c r="A889" s="1"/>
      <c r="B889" s="2"/>
      <c r="C889" s="3"/>
      <c r="D889" s="1"/>
      <c r="E889" s="3"/>
      <c r="F889" s="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9"/>
      <c r="S889" s="48"/>
      <c r="T889" s="1"/>
      <c r="U889" s="1"/>
      <c r="V889" s="1"/>
      <c r="W889" s="1"/>
      <c r="X889" s="1"/>
      <c r="Y889" s="1"/>
      <c r="Z889" s="1"/>
      <c r="AA889" s="1"/>
    </row>
    <row r="890" ht="12.75" customHeight="1">
      <c r="A890" s="1"/>
      <c r="B890" s="2"/>
      <c r="C890" s="3"/>
      <c r="D890" s="1"/>
      <c r="E890" s="3"/>
      <c r="F890" s="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9"/>
      <c r="S890" s="48"/>
      <c r="T890" s="1"/>
      <c r="U890" s="1"/>
      <c r="V890" s="1"/>
      <c r="W890" s="1"/>
      <c r="X890" s="1"/>
      <c r="Y890" s="1"/>
      <c r="Z890" s="1"/>
      <c r="AA890" s="1"/>
    </row>
    <row r="891" ht="12.75" customHeight="1">
      <c r="A891" s="1"/>
      <c r="B891" s="2"/>
      <c r="C891" s="3"/>
      <c r="D891" s="1"/>
      <c r="E891" s="3"/>
      <c r="F891" s="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9"/>
      <c r="S891" s="48"/>
      <c r="T891" s="1"/>
      <c r="U891" s="1"/>
      <c r="V891" s="1"/>
      <c r="W891" s="1"/>
      <c r="X891" s="1"/>
      <c r="Y891" s="1"/>
      <c r="Z891" s="1"/>
      <c r="AA891" s="1"/>
    </row>
    <row r="892" ht="12.75" customHeight="1">
      <c r="A892" s="1"/>
      <c r="B892" s="2"/>
      <c r="C892" s="3"/>
      <c r="D892" s="1"/>
      <c r="E892" s="3"/>
      <c r="F892" s="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9"/>
      <c r="S892" s="48"/>
      <c r="T892" s="1"/>
      <c r="U892" s="1"/>
      <c r="V892" s="1"/>
      <c r="W892" s="1"/>
      <c r="X892" s="1"/>
      <c r="Y892" s="1"/>
      <c r="Z892" s="1"/>
      <c r="AA892" s="1"/>
    </row>
    <row r="893" ht="12.75" customHeight="1">
      <c r="A893" s="1"/>
      <c r="B893" s="2"/>
      <c r="C893" s="3"/>
      <c r="D893" s="1"/>
      <c r="E893" s="3"/>
      <c r="F893" s="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9"/>
      <c r="S893" s="48"/>
      <c r="T893" s="1"/>
      <c r="U893" s="1"/>
      <c r="V893" s="1"/>
      <c r="W893" s="1"/>
      <c r="X893" s="1"/>
      <c r="Y893" s="1"/>
      <c r="Z893" s="1"/>
      <c r="AA893" s="1"/>
    </row>
    <row r="894" ht="12.75" customHeight="1">
      <c r="A894" s="1"/>
      <c r="B894" s="2"/>
      <c r="C894" s="3"/>
      <c r="D894" s="1"/>
      <c r="E894" s="3"/>
      <c r="F894" s="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9"/>
      <c r="S894" s="48"/>
      <c r="T894" s="1"/>
      <c r="U894" s="1"/>
      <c r="V894" s="1"/>
      <c r="W894" s="1"/>
      <c r="X894" s="1"/>
      <c r="Y894" s="1"/>
      <c r="Z894" s="1"/>
      <c r="AA894" s="1"/>
    </row>
    <row r="895" ht="12.75" customHeight="1">
      <c r="A895" s="1"/>
      <c r="B895" s="2"/>
      <c r="C895" s="3"/>
      <c r="D895" s="1"/>
      <c r="E895" s="3"/>
      <c r="F895" s="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9"/>
      <c r="S895" s="48"/>
      <c r="T895" s="1"/>
      <c r="U895" s="1"/>
      <c r="V895" s="1"/>
      <c r="W895" s="1"/>
      <c r="X895" s="1"/>
      <c r="Y895" s="1"/>
      <c r="Z895" s="1"/>
      <c r="AA895" s="1"/>
    </row>
    <row r="896" ht="12.75" customHeight="1">
      <c r="A896" s="1"/>
      <c r="B896" s="2"/>
      <c r="C896" s="3"/>
      <c r="D896" s="1"/>
      <c r="E896" s="3"/>
      <c r="F896" s="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9"/>
      <c r="S896" s="48"/>
      <c r="T896" s="1"/>
      <c r="U896" s="1"/>
      <c r="V896" s="1"/>
      <c r="W896" s="1"/>
      <c r="X896" s="1"/>
      <c r="Y896" s="1"/>
      <c r="Z896" s="1"/>
      <c r="AA896" s="1"/>
    </row>
    <row r="897" ht="12.75" customHeight="1">
      <c r="A897" s="1"/>
      <c r="B897" s="2"/>
      <c r="C897" s="3"/>
      <c r="D897" s="1"/>
      <c r="E897" s="3"/>
      <c r="F897" s="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9"/>
      <c r="S897" s="48"/>
      <c r="T897" s="1"/>
      <c r="U897" s="1"/>
      <c r="V897" s="1"/>
      <c r="W897" s="1"/>
      <c r="X897" s="1"/>
      <c r="Y897" s="1"/>
      <c r="Z897" s="1"/>
      <c r="AA897" s="1"/>
    </row>
    <row r="898" ht="12.75" customHeight="1">
      <c r="A898" s="1"/>
      <c r="B898" s="2"/>
      <c r="C898" s="3"/>
      <c r="D898" s="1"/>
      <c r="E898" s="3"/>
      <c r="F898" s="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9"/>
      <c r="S898" s="48"/>
      <c r="T898" s="1"/>
      <c r="U898" s="1"/>
      <c r="V898" s="1"/>
      <c r="W898" s="1"/>
      <c r="X898" s="1"/>
      <c r="Y898" s="1"/>
      <c r="Z898" s="1"/>
      <c r="AA898" s="1"/>
    </row>
    <row r="899" ht="12.75" customHeight="1">
      <c r="A899" s="1"/>
      <c r="B899" s="2"/>
      <c r="C899" s="3"/>
      <c r="D899" s="1"/>
      <c r="E899" s="3"/>
      <c r="F899" s="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9"/>
      <c r="S899" s="48"/>
      <c r="T899" s="1"/>
      <c r="U899" s="1"/>
      <c r="V899" s="1"/>
      <c r="W899" s="1"/>
      <c r="X899" s="1"/>
      <c r="Y899" s="1"/>
      <c r="Z899" s="1"/>
      <c r="AA899" s="1"/>
    </row>
    <row r="900" ht="12.75" customHeight="1">
      <c r="A900" s="1"/>
      <c r="B900" s="2"/>
      <c r="C900" s="3"/>
      <c r="D900" s="1"/>
      <c r="E900" s="3"/>
      <c r="F900" s="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9"/>
      <c r="S900" s="48"/>
      <c r="T900" s="1"/>
      <c r="U900" s="1"/>
      <c r="V900" s="1"/>
      <c r="W900" s="1"/>
      <c r="X900" s="1"/>
      <c r="Y900" s="1"/>
      <c r="Z900" s="1"/>
      <c r="AA900" s="1"/>
    </row>
    <row r="901" ht="12.75" customHeight="1">
      <c r="A901" s="1"/>
      <c r="B901" s="2"/>
      <c r="C901" s="3"/>
      <c r="D901" s="1"/>
      <c r="E901" s="3"/>
      <c r="F901" s="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9"/>
      <c r="S901" s="48"/>
      <c r="T901" s="1"/>
      <c r="U901" s="1"/>
      <c r="V901" s="1"/>
      <c r="W901" s="1"/>
      <c r="X901" s="1"/>
      <c r="Y901" s="1"/>
      <c r="Z901" s="1"/>
      <c r="AA901" s="1"/>
    </row>
    <row r="902" ht="12.75" customHeight="1">
      <c r="A902" s="1"/>
      <c r="B902" s="2"/>
      <c r="C902" s="3"/>
      <c r="D902" s="1"/>
      <c r="E902" s="3"/>
      <c r="F902" s="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9"/>
      <c r="S902" s="48"/>
      <c r="T902" s="1"/>
      <c r="U902" s="1"/>
      <c r="V902" s="1"/>
      <c r="W902" s="1"/>
      <c r="X902" s="1"/>
      <c r="Y902" s="1"/>
      <c r="Z902" s="1"/>
      <c r="AA902" s="1"/>
    </row>
    <row r="903" ht="12.75" customHeight="1">
      <c r="A903" s="1"/>
      <c r="B903" s="2"/>
      <c r="C903" s="3"/>
      <c r="D903" s="1"/>
      <c r="E903" s="3"/>
      <c r="F903" s="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9"/>
      <c r="S903" s="48"/>
      <c r="T903" s="1"/>
      <c r="U903" s="1"/>
      <c r="V903" s="1"/>
      <c r="W903" s="1"/>
      <c r="X903" s="1"/>
      <c r="Y903" s="1"/>
      <c r="Z903" s="1"/>
      <c r="AA903" s="1"/>
    </row>
    <row r="904" ht="12.75" customHeight="1">
      <c r="A904" s="1"/>
      <c r="B904" s="2"/>
      <c r="C904" s="3"/>
      <c r="D904" s="1"/>
      <c r="E904" s="3"/>
      <c r="F904" s="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9"/>
      <c r="S904" s="48"/>
      <c r="T904" s="1"/>
      <c r="U904" s="1"/>
      <c r="V904" s="1"/>
      <c r="W904" s="1"/>
      <c r="X904" s="1"/>
      <c r="Y904" s="1"/>
      <c r="Z904" s="1"/>
      <c r="AA904" s="1"/>
    </row>
    <row r="905" ht="12.75" customHeight="1">
      <c r="A905" s="1"/>
      <c r="B905" s="2"/>
      <c r="C905" s="3"/>
      <c r="D905" s="1"/>
      <c r="E905" s="3"/>
      <c r="F905" s="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9"/>
      <c r="S905" s="48"/>
      <c r="T905" s="1"/>
      <c r="U905" s="1"/>
      <c r="V905" s="1"/>
      <c r="W905" s="1"/>
      <c r="X905" s="1"/>
      <c r="Y905" s="1"/>
      <c r="Z905" s="1"/>
      <c r="AA905" s="1"/>
    </row>
    <row r="906" ht="12.75" customHeight="1">
      <c r="A906" s="1"/>
      <c r="B906" s="2"/>
      <c r="C906" s="3"/>
      <c r="D906" s="1"/>
      <c r="E906" s="3"/>
      <c r="F906" s="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9"/>
      <c r="S906" s="48"/>
      <c r="T906" s="1"/>
      <c r="U906" s="1"/>
      <c r="V906" s="1"/>
      <c r="W906" s="1"/>
      <c r="X906" s="1"/>
      <c r="Y906" s="1"/>
      <c r="Z906" s="1"/>
      <c r="AA906" s="1"/>
    </row>
    <row r="907" ht="12.75" customHeight="1">
      <c r="A907" s="1"/>
      <c r="B907" s="2"/>
      <c r="C907" s="3"/>
      <c r="D907" s="1"/>
      <c r="E907" s="3"/>
      <c r="F907" s="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9"/>
      <c r="S907" s="48"/>
      <c r="T907" s="1"/>
      <c r="U907" s="1"/>
      <c r="V907" s="1"/>
      <c r="W907" s="1"/>
      <c r="X907" s="1"/>
      <c r="Y907" s="1"/>
      <c r="Z907" s="1"/>
      <c r="AA907" s="1"/>
    </row>
    <row r="908" ht="12.75" customHeight="1">
      <c r="A908" s="1"/>
      <c r="B908" s="2"/>
      <c r="C908" s="3"/>
      <c r="D908" s="1"/>
      <c r="E908" s="3"/>
      <c r="F908" s="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9"/>
      <c r="S908" s="48"/>
      <c r="T908" s="1"/>
      <c r="U908" s="1"/>
      <c r="V908" s="1"/>
      <c r="W908" s="1"/>
      <c r="X908" s="1"/>
      <c r="Y908" s="1"/>
      <c r="Z908" s="1"/>
      <c r="AA908" s="1"/>
    </row>
    <row r="909" ht="12.75" customHeight="1">
      <c r="A909" s="1"/>
      <c r="B909" s="2"/>
      <c r="C909" s="3"/>
      <c r="D909" s="1"/>
      <c r="E909" s="3"/>
      <c r="F909" s="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9"/>
      <c r="S909" s="48"/>
      <c r="T909" s="1"/>
      <c r="U909" s="1"/>
      <c r="V909" s="1"/>
      <c r="W909" s="1"/>
      <c r="X909" s="1"/>
      <c r="Y909" s="1"/>
      <c r="Z909" s="1"/>
      <c r="AA909" s="1"/>
    </row>
    <row r="910" ht="12.75" customHeight="1">
      <c r="A910" s="1"/>
      <c r="B910" s="2"/>
      <c r="C910" s="3"/>
      <c r="D910" s="1"/>
      <c r="E910" s="3"/>
      <c r="F910" s="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9"/>
      <c r="S910" s="48"/>
      <c r="T910" s="1"/>
      <c r="U910" s="1"/>
      <c r="V910" s="1"/>
      <c r="W910" s="1"/>
      <c r="X910" s="1"/>
      <c r="Y910" s="1"/>
      <c r="Z910" s="1"/>
      <c r="AA910" s="1"/>
    </row>
    <row r="911" ht="12.75" customHeight="1">
      <c r="A911" s="1"/>
      <c r="B911" s="2"/>
      <c r="C911" s="3"/>
      <c r="D911" s="1"/>
      <c r="E911" s="3"/>
      <c r="F911" s="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9"/>
      <c r="S911" s="48"/>
      <c r="T911" s="1"/>
      <c r="U911" s="1"/>
      <c r="V911" s="1"/>
      <c r="W911" s="1"/>
      <c r="X911" s="1"/>
      <c r="Y911" s="1"/>
      <c r="Z911" s="1"/>
      <c r="AA911" s="1"/>
    </row>
    <row r="912" ht="12.75" customHeight="1">
      <c r="A912" s="1"/>
      <c r="B912" s="2"/>
      <c r="C912" s="3"/>
      <c r="D912" s="1"/>
      <c r="E912" s="3"/>
      <c r="F912" s="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9"/>
      <c r="S912" s="48"/>
      <c r="T912" s="1"/>
      <c r="U912" s="1"/>
      <c r="V912" s="1"/>
      <c r="W912" s="1"/>
      <c r="X912" s="1"/>
      <c r="Y912" s="1"/>
      <c r="Z912" s="1"/>
      <c r="AA912" s="1"/>
    </row>
    <row r="913" ht="12.75" customHeight="1">
      <c r="A913" s="1"/>
      <c r="B913" s="2"/>
      <c r="C913" s="3"/>
      <c r="D913" s="1"/>
      <c r="E913" s="3"/>
      <c r="F913" s="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9"/>
      <c r="S913" s="48"/>
      <c r="T913" s="1"/>
      <c r="U913" s="1"/>
      <c r="V913" s="1"/>
      <c r="W913" s="1"/>
      <c r="X913" s="1"/>
      <c r="Y913" s="1"/>
      <c r="Z913" s="1"/>
      <c r="AA913" s="1"/>
    </row>
    <row r="914" ht="12.75" customHeight="1">
      <c r="A914" s="1"/>
      <c r="B914" s="2"/>
      <c r="C914" s="3"/>
      <c r="D914" s="1"/>
      <c r="E914" s="3"/>
      <c r="F914" s="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9"/>
      <c r="S914" s="48"/>
      <c r="T914" s="1"/>
      <c r="U914" s="1"/>
      <c r="V914" s="1"/>
      <c r="W914" s="1"/>
      <c r="X914" s="1"/>
      <c r="Y914" s="1"/>
      <c r="Z914" s="1"/>
      <c r="AA914" s="1"/>
    </row>
    <row r="915" ht="12.75" customHeight="1">
      <c r="A915" s="1"/>
      <c r="B915" s="2"/>
      <c r="C915" s="3"/>
      <c r="D915" s="1"/>
      <c r="E915" s="3"/>
      <c r="F915" s="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9"/>
      <c r="S915" s="48"/>
      <c r="T915" s="1"/>
      <c r="U915" s="1"/>
      <c r="V915" s="1"/>
      <c r="W915" s="1"/>
      <c r="X915" s="1"/>
      <c r="Y915" s="1"/>
      <c r="Z915" s="1"/>
      <c r="AA915" s="1"/>
    </row>
    <row r="916" ht="12.75" customHeight="1">
      <c r="A916" s="1"/>
      <c r="B916" s="2"/>
      <c r="C916" s="3"/>
      <c r="D916" s="1"/>
      <c r="E916" s="3"/>
      <c r="F916" s="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9"/>
      <c r="S916" s="48"/>
      <c r="T916" s="1"/>
      <c r="U916" s="1"/>
      <c r="V916" s="1"/>
      <c r="W916" s="1"/>
      <c r="X916" s="1"/>
      <c r="Y916" s="1"/>
      <c r="Z916" s="1"/>
      <c r="AA916" s="1"/>
    </row>
    <row r="917" ht="12.75" customHeight="1">
      <c r="A917" s="1"/>
      <c r="B917" s="2"/>
      <c r="C917" s="3"/>
      <c r="D917" s="1"/>
      <c r="E917" s="3"/>
      <c r="F917" s="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9"/>
      <c r="S917" s="48"/>
      <c r="T917" s="1"/>
      <c r="U917" s="1"/>
      <c r="V917" s="1"/>
      <c r="W917" s="1"/>
      <c r="X917" s="1"/>
      <c r="Y917" s="1"/>
      <c r="Z917" s="1"/>
      <c r="AA917" s="1"/>
    </row>
    <row r="918" ht="12.75" customHeight="1">
      <c r="A918" s="1"/>
      <c r="B918" s="2"/>
      <c r="C918" s="3"/>
      <c r="D918" s="1"/>
      <c r="E918" s="3"/>
      <c r="F918" s="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9"/>
      <c r="S918" s="48"/>
      <c r="T918" s="1"/>
      <c r="U918" s="1"/>
      <c r="V918" s="1"/>
      <c r="W918" s="1"/>
      <c r="X918" s="1"/>
      <c r="Y918" s="1"/>
      <c r="Z918" s="1"/>
      <c r="AA918" s="1"/>
    </row>
    <row r="919" ht="12.75" customHeight="1">
      <c r="A919" s="1"/>
      <c r="B919" s="2"/>
      <c r="C919" s="3"/>
      <c r="D919" s="1"/>
      <c r="E919" s="3"/>
      <c r="F919" s="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9"/>
      <c r="S919" s="48"/>
      <c r="T919" s="1"/>
      <c r="U919" s="1"/>
      <c r="V919" s="1"/>
      <c r="W919" s="1"/>
      <c r="X919" s="1"/>
      <c r="Y919" s="1"/>
      <c r="Z919" s="1"/>
      <c r="AA919" s="1"/>
    </row>
    <row r="920" ht="12.75" customHeight="1">
      <c r="A920" s="1"/>
      <c r="B920" s="2"/>
      <c r="C920" s="3"/>
      <c r="D920" s="1"/>
      <c r="E920" s="3"/>
      <c r="F920" s="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9"/>
      <c r="S920" s="48"/>
      <c r="T920" s="1"/>
      <c r="U920" s="1"/>
      <c r="V920" s="1"/>
      <c r="W920" s="1"/>
      <c r="X920" s="1"/>
      <c r="Y920" s="1"/>
      <c r="Z920" s="1"/>
      <c r="AA920" s="1"/>
    </row>
    <row r="921" ht="12.75" customHeight="1">
      <c r="A921" s="1"/>
      <c r="B921" s="2"/>
      <c r="C921" s="3"/>
      <c r="D921" s="1"/>
      <c r="E921" s="3"/>
      <c r="F921" s="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9"/>
      <c r="S921" s="48"/>
      <c r="T921" s="1"/>
      <c r="U921" s="1"/>
      <c r="V921" s="1"/>
      <c r="W921" s="1"/>
      <c r="X921" s="1"/>
      <c r="Y921" s="1"/>
      <c r="Z921" s="1"/>
      <c r="AA921" s="1"/>
    </row>
    <row r="922" ht="12.75" customHeight="1">
      <c r="A922" s="1"/>
      <c r="B922" s="2"/>
      <c r="C922" s="3"/>
      <c r="D922" s="1"/>
      <c r="E922" s="3"/>
      <c r="F922" s="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9"/>
      <c r="S922" s="48"/>
      <c r="T922" s="1"/>
      <c r="U922" s="1"/>
      <c r="V922" s="1"/>
      <c r="W922" s="1"/>
      <c r="X922" s="1"/>
      <c r="Y922" s="1"/>
      <c r="Z922" s="1"/>
      <c r="AA922" s="1"/>
    </row>
    <row r="923" ht="12.75" customHeight="1">
      <c r="A923" s="1"/>
      <c r="B923" s="2"/>
      <c r="C923" s="3"/>
      <c r="D923" s="1"/>
      <c r="E923" s="3"/>
      <c r="F923" s="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9"/>
      <c r="S923" s="48"/>
      <c r="T923" s="1"/>
      <c r="U923" s="1"/>
      <c r="V923" s="1"/>
      <c r="W923" s="1"/>
      <c r="X923" s="1"/>
      <c r="Y923" s="1"/>
      <c r="Z923" s="1"/>
      <c r="AA923" s="1"/>
    </row>
    <row r="924" ht="12.75" customHeight="1">
      <c r="A924" s="1"/>
      <c r="B924" s="2"/>
      <c r="C924" s="3"/>
      <c r="D924" s="1"/>
      <c r="E924" s="3"/>
      <c r="F924" s="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9"/>
      <c r="S924" s="48"/>
      <c r="T924" s="1"/>
      <c r="U924" s="1"/>
      <c r="V924" s="1"/>
      <c r="W924" s="1"/>
      <c r="X924" s="1"/>
      <c r="Y924" s="1"/>
      <c r="Z924" s="1"/>
      <c r="AA924" s="1"/>
    </row>
    <row r="925" ht="12.75" customHeight="1">
      <c r="A925" s="1"/>
      <c r="B925" s="2"/>
      <c r="C925" s="3"/>
      <c r="D925" s="1"/>
      <c r="E925" s="3"/>
      <c r="F925" s="3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9"/>
      <c r="S925" s="48"/>
      <c r="T925" s="1"/>
      <c r="U925" s="1"/>
      <c r="V925" s="1"/>
      <c r="W925" s="1"/>
      <c r="X925" s="1"/>
      <c r="Y925" s="1"/>
      <c r="Z925" s="1"/>
      <c r="AA925" s="1"/>
    </row>
    <row r="926" ht="12.75" customHeight="1">
      <c r="A926" s="1"/>
      <c r="B926" s="2"/>
      <c r="C926" s="3"/>
      <c r="D926" s="1"/>
      <c r="E926" s="3"/>
      <c r="F926" s="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9"/>
      <c r="S926" s="48"/>
      <c r="T926" s="1"/>
      <c r="U926" s="1"/>
      <c r="V926" s="1"/>
      <c r="W926" s="1"/>
      <c r="X926" s="1"/>
      <c r="Y926" s="1"/>
      <c r="Z926" s="1"/>
      <c r="AA926" s="1"/>
    </row>
    <row r="927" ht="12.75" customHeight="1">
      <c r="A927" s="1"/>
      <c r="B927" s="2"/>
      <c r="C927" s="3"/>
      <c r="D927" s="1"/>
      <c r="E927" s="3"/>
      <c r="F927" s="3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9"/>
      <c r="S927" s="48"/>
      <c r="T927" s="1"/>
      <c r="U927" s="1"/>
      <c r="V927" s="1"/>
      <c r="W927" s="1"/>
      <c r="X927" s="1"/>
      <c r="Y927" s="1"/>
      <c r="Z927" s="1"/>
      <c r="AA927" s="1"/>
    </row>
    <row r="928" ht="12.75" customHeight="1">
      <c r="A928" s="1"/>
      <c r="B928" s="2"/>
      <c r="C928" s="3"/>
      <c r="D928" s="1"/>
      <c r="E928" s="3"/>
      <c r="F928" s="3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9"/>
      <c r="S928" s="48"/>
      <c r="T928" s="1"/>
      <c r="U928" s="1"/>
      <c r="V928" s="1"/>
      <c r="W928" s="1"/>
      <c r="X928" s="1"/>
      <c r="Y928" s="1"/>
      <c r="Z928" s="1"/>
      <c r="AA928" s="1"/>
    </row>
    <row r="929" ht="12.75" customHeight="1">
      <c r="A929" s="1"/>
      <c r="B929" s="2"/>
      <c r="C929" s="3"/>
      <c r="D929" s="1"/>
      <c r="E929" s="3"/>
      <c r="F929" s="3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9"/>
      <c r="S929" s="48"/>
      <c r="T929" s="1"/>
      <c r="U929" s="1"/>
      <c r="V929" s="1"/>
      <c r="W929" s="1"/>
      <c r="X929" s="1"/>
      <c r="Y929" s="1"/>
      <c r="Z929" s="1"/>
      <c r="AA929" s="1"/>
    </row>
    <row r="930" ht="12.75" customHeight="1">
      <c r="A930" s="1"/>
      <c r="B930" s="2"/>
      <c r="C930" s="3"/>
      <c r="D930" s="1"/>
      <c r="E930" s="3"/>
      <c r="F930" s="3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9"/>
      <c r="S930" s="48"/>
      <c r="T930" s="1"/>
      <c r="U930" s="1"/>
      <c r="V930" s="1"/>
      <c r="W930" s="1"/>
      <c r="X930" s="1"/>
      <c r="Y930" s="1"/>
      <c r="Z930" s="1"/>
      <c r="AA930" s="1"/>
    </row>
    <row r="931" ht="12.75" customHeight="1">
      <c r="A931" s="1"/>
      <c r="B931" s="2"/>
      <c r="C931" s="3"/>
      <c r="D931" s="1"/>
      <c r="E931" s="3"/>
      <c r="F931" s="3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9"/>
      <c r="S931" s="48"/>
      <c r="T931" s="1"/>
      <c r="U931" s="1"/>
      <c r="V931" s="1"/>
      <c r="W931" s="1"/>
      <c r="X931" s="1"/>
      <c r="Y931" s="1"/>
      <c r="Z931" s="1"/>
      <c r="AA931" s="1"/>
    </row>
    <row r="932" ht="12.75" customHeight="1">
      <c r="A932" s="1"/>
      <c r="B932" s="2"/>
      <c r="C932" s="3"/>
      <c r="D932" s="1"/>
      <c r="E932" s="3"/>
      <c r="F932" s="3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9"/>
      <c r="S932" s="48"/>
      <c r="T932" s="1"/>
      <c r="U932" s="1"/>
      <c r="V932" s="1"/>
      <c r="W932" s="1"/>
      <c r="X932" s="1"/>
      <c r="Y932" s="1"/>
      <c r="Z932" s="1"/>
      <c r="AA932" s="1"/>
    </row>
    <row r="933" ht="12.75" customHeight="1">
      <c r="A933" s="1"/>
      <c r="B933" s="2"/>
      <c r="C933" s="3"/>
      <c r="D933" s="1"/>
      <c r="E933" s="3"/>
      <c r="F933" s="3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9"/>
      <c r="S933" s="48"/>
      <c r="T933" s="1"/>
      <c r="U933" s="1"/>
      <c r="V933" s="1"/>
      <c r="W933" s="1"/>
      <c r="X933" s="1"/>
      <c r="Y933" s="1"/>
      <c r="Z933" s="1"/>
      <c r="AA933" s="1"/>
    </row>
    <row r="934" ht="12.75" customHeight="1">
      <c r="A934" s="1"/>
      <c r="B934" s="2"/>
      <c r="C934" s="3"/>
      <c r="D934" s="1"/>
      <c r="E934" s="3"/>
      <c r="F934" s="3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9"/>
      <c r="S934" s="48"/>
      <c r="T934" s="1"/>
      <c r="U934" s="1"/>
      <c r="V934" s="1"/>
      <c r="W934" s="1"/>
      <c r="X934" s="1"/>
      <c r="Y934" s="1"/>
      <c r="Z934" s="1"/>
      <c r="AA934" s="1"/>
    </row>
    <row r="935" ht="12.75" customHeight="1">
      <c r="A935" s="1"/>
      <c r="B935" s="2"/>
      <c r="C935" s="3"/>
      <c r="D935" s="1"/>
      <c r="E935" s="3"/>
      <c r="F935" s="3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9"/>
      <c r="S935" s="48"/>
      <c r="T935" s="1"/>
      <c r="U935" s="1"/>
      <c r="V935" s="1"/>
      <c r="W935" s="1"/>
      <c r="X935" s="1"/>
      <c r="Y935" s="1"/>
      <c r="Z935" s="1"/>
      <c r="AA935" s="1"/>
    </row>
    <row r="936" ht="12.75" customHeight="1">
      <c r="A936" s="1"/>
      <c r="B936" s="2"/>
      <c r="C936" s="3"/>
      <c r="D936" s="1"/>
      <c r="E936" s="3"/>
      <c r="F936" s="3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9"/>
      <c r="S936" s="48"/>
      <c r="T936" s="1"/>
      <c r="U936" s="1"/>
      <c r="V936" s="1"/>
      <c r="W936" s="1"/>
      <c r="X936" s="1"/>
      <c r="Y936" s="1"/>
      <c r="Z936" s="1"/>
      <c r="AA936" s="1"/>
    </row>
    <row r="937" ht="12.75" customHeight="1">
      <c r="A937" s="1"/>
      <c r="B937" s="2"/>
      <c r="C937" s="3"/>
      <c r="D937" s="1"/>
      <c r="E937" s="3"/>
      <c r="F937" s="3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9"/>
      <c r="S937" s="48"/>
      <c r="T937" s="1"/>
      <c r="U937" s="1"/>
      <c r="V937" s="1"/>
      <c r="W937" s="1"/>
      <c r="X937" s="1"/>
      <c r="Y937" s="1"/>
      <c r="Z937" s="1"/>
      <c r="AA937" s="1"/>
    </row>
    <row r="938" ht="12.75" customHeight="1">
      <c r="A938" s="1"/>
      <c r="B938" s="2"/>
      <c r="C938" s="3"/>
      <c r="D938" s="1"/>
      <c r="E938" s="3"/>
      <c r="F938" s="3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9"/>
      <c r="S938" s="48"/>
      <c r="T938" s="1"/>
      <c r="U938" s="1"/>
      <c r="V938" s="1"/>
      <c r="W938" s="1"/>
      <c r="X938" s="1"/>
      <c r="Y938" s="1"/>
      <c r="Z938" s="1"/>
      <c r="AA938" s="1"/>
    </row>
    <row r="939" ht="12.75" customHeight="1">
      <c r="A939" s="1"/>
      <c r="B939" s="2"/>
      <c r="C939" s="3"/>
      <c r="D939" s="1"/>
      <c r="E939" s="3"/>
      <c r="F939" s="3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9"/>
      <c r="S939" s="48"/>
      <c r="T939" s="1"/>
      <c r="U939" s="1"/>
      <c r="V939" s="1"/>
      <c r="W939" s="1"/>
      <c r="X939" s="1"/>
      <c r="Y939" s="1"/>
      <c r="Z939" s="1"/>
      <c r="AA939" s="1"/>
    </row>
    <row r="940" ht="12.75" customHeight="1">
      <c r="A940" s="1"/>
      <c r="B940" s="2"/>
      <c r="C940" s="3"/>
      <c r="D940" s="1"/>
      <c r="E940" s="3"/>
      <c r="F940" s="3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9"/>
      <c r="S940" s="48"/>
      <c r="T940" s="1"/>
      <c r="U940" s="1"/>
      <c r="V940" s="1"/>
      <c r="W940" s="1"/>
      <c r="X940" s="1"/>
      <c r="Y940" s="1"/>
      <c r="Z940" s="1"/>
      <c r="AA940" s="1"/>
    </row>
    <row r="941" ht="12.75" customHeight="1">
      <c r="A941" s="1"/>
      <c r="B941" s="2"/>
      <c r="C941" s="3"/>
      <c r="D941" s="1"/>
      <c r="E941" s="3"/>
      <c r="F941" s="3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9"/>
      <c r="S941" s="48"/>
      <c r="T941" s="1"/>
      <c r="U941" s="1"/>
      <c r="V941" s="1"/>
      <c r="W941" s="1"/>
      <c r="X941" s="1"/>
      <c r="Y941" s="1"/>
      <c r="Z941" s="1"/>
      <c r="AA941" s="1"/>
    </row>
    <row r="942" ht="12.75" customHeight="1">
      <c r="A942" s="1"/>
      <c r="B942" s="2"/>
      <c r="C942" s="3"/>
      <c r="D942" s="1"/>
      <c r="E942" s="3"/>
      <c r="F942" s="3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9"/>
      <c r="S942" s="48"/>
      <c r="T942" s="1"/>
      <c r="U942" s="1"/>
      <c r="V942" s="1"/>
      <c r="W942" s="1"/>
      <c r="X942" s="1"/>
      <c r="Y942" s="1"/>
      <c r="Z942" s="1"/>
      <c r="AA942" s="1"/>
    </row>
    <row r="943" ht="12.75" customHeight="1">
      <c r="A943" s="1"/>
      <c r="B943" s="2"/>
      <c r="C943" s="3"/>
      <c r="D943" s="1"/>
      <c r="E943" s="3"/>
      <c r="F943" s="3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9"/>
      <c r="S943" s="48"/>
      <c r="T943" s="1"/>
      <c r="U943" s="1"/>
      <c r="V943" s="1"/>
      <c r="W943" s="1"/>
      <c r="X943" s="1"/>
      <c r="Y943" s="1"/>
      <c r="Z943" s="1"/>
      <c r="AA943" s="1"/>
    </row>
    <row r="944" ht="12.75" customHeight="1">
      <c r="A944" s="1"/>
      <c r="B944" s="2"/>
      <c r="C944" s="3"/>
      <c r="D944" s="1"/>
      <c r="E944" s="3"/>
      <c r="F944" s="3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9"/>
      <c r="S944" s="48"/>
      <c r="T944" s="1"/>
      <c r="U944" s="1"/>
      <c r="V944" s="1"/>
      <c r="W944" s="1"/>
      <c r="X944" s="1"/>
      <c r="Y944" s="1"/>
      <c r="Z944" s="1"/>
      <c r="AA944" s="1"/>
    </row>
    <row r="945" ht="12.75" customHeight="1">
      <c r="A945" s="1"/>
      <c r="B945" s="2"/>
      <c r="C945" s="3"/>
      <c r="D945" s="1"/>
      <c r="E945" s="3"/>
      <c r="F945" s="3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9"/>
      <c r="S945" s="48"/>
      <c r="T945" s="1"/>
      <c r="U945" s="1"/>
      <c r="V945" s="1"/>
      <c r="W945" s="1"/>
      <c r="X945" s="1"/>
      <c r="Y945" s="1"/>
      <c r="Z945" s="1"/>
      <c r="AA945" s="1"/>
    </row>
    <row r="946" ht="12.75" customHeight="1">
      <c r="A946" s="1"/>
      <c r="B946" s="2"/>
      <c r="C946" s="3"/>
      <c r="D946" s="1"/>
      <c r="E946" s="3"/>
      <c r="F946" s="3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9"/>
      <c r="S946" s="48"/>
      <c r="T946" s="1"/>
      <c r="U946" s="1"/>
      <c r="V946" s="1"/>
      <c r="W946" s="1"/>
      <c r="X946" s="1"/>
      <c r="Y946" s="1"/>
      <c r="Z946" s="1"/>
      <c r="AA946" s="1"/>
    </row>
    <row r="947" ht="12.75" customHeight="1">
      <c r="A947" s="1"/>
      <c r="B947" s="2"/>
      <c r="C947" s="3"/>
      <c r="D947" s="1"/>
      <c r="E947" s="3"/>
      <c r="F947" s="3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9"/>
      <c r="S947" s="48"/>
      <c r="T947" s="1"/>
      <c r="U947" s="1"/>
      <c r="V947" s="1"/>
      <c r="W947" s="1"/>
      <c r="X947" s="1"/>
      <c r="Y947" s="1"/>
      <c r="Z947" s="1"/>
      <c r="AA947" s="1"/>
    </row>
    <row r="948" ht="12.75" customHeight="1">
      <c r="A948" s="1"/>
      <c r="B948" s="2"/>
      <c r="C948" s="3"/>
      <c r="D948" s="1"/>
      <c r="E948" s="3"/>
      <c r="F948" s="3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9"/>
      <c r="S948" s="48"/>
      <c r="T948" s="1"/>
      <c r="U948" s="1"/>
      <c r="V948" s="1"/>
      <c r="W948" s="1"/>
      <c r="X948" s="1"/>
      <c r="Y948" s="1"/>
      <c r="Z948" s="1"/>
      <c r="AA948" s="1"/>
    </row>
    <row r="949" ht="12.75" customHeight="1">
      <c r="A949" s="1"/>
      <c r="B949" s="2"/>
      <c r="C949" s="3"/>
      <c r="D949" s="1"/>
      <c r="E949" s="3"/>
      <c r="F949" s="3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9"/>
      <c r="S949" s="48"/>
      <c r="T949" s="1"/>
      <c r="U949" s="1"/>
      <c r="V949" s="1"/>
      <c r="W949" s="1"/>
      <c r="X949" s="1"/>
      <c r="Y949" s="1"/>
      <c r="Z949" s="1"/>
      <c r="AA949" s="1"/>
    </row>
    <row r="950" ht="12.75" customHeight="1">
      <c r="A950" s="1"/>
      <c r="B950" s="2"/>
      <c r="C950" s="3"/>
      <c r="D950" s="1"/>
      <c r="E950" s="3"/>
      <c r="F950" s="3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9"/>
      <c r="S950" s="48"/>
      <c r="T950" s="1"/>
      <c r="U950" s="1"/>
      <c r="V950" s="1"/>
      <c r="W950" s="1"/>
      <c r="X950" s="1"/>
      <c r="Y950" s="1"/>
      <c r="Z950" s="1"/>
      <c r="AA950" s="1"/>
    </row>
    <row r="951" ht="12.75" customHeight="1">
      <c r="A951" s="1"/>
      <c r="B951" s="2"/>
      <c r="C951" s="3"/>
      <c r="D951" s="1"/>
      <c r="E951" s="3"/>
      <c r="F951" s="3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9"/>
      <c r="S951" s="48"/>
      <c r="T951" s="1"/>
      <c r="U951" s="1"/>
      <c r="V951" s="1"/>
      <c r="W951" s="1"/>
      <c r="X951" s="1"/>
      <c r="Y951" s="1"/>
      <c r="Z951" s="1"/>
      <c r="AA951" s="1"/>
    </row>
    <row r="952" ht="12.75" customHeight="1">
      <c r="A952" s="1"/>
      <c r="B952" s="2"/>
      <c r="C952" s="3"/>
      <c r="D952" s="1"/>
      <c r="E952" s="3"/>
      <c r="F952" s="3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9"/>
      <c r="S952" s="48"/>
      <c r="T952" s="1"/>
      <c r="U952" s="1"/>
      <c r="V952" s="1"/>
      <c r="W952" s="1"/>
      <c r="X952" s="1"/>
      <c r="Y952" s="1"/>
      <c r="Z952" s="1"/>
      <c r="AA952" s="1"/>
    </row>
    <row r="953" ht="12.75" customHeight="1">
      <c r="A953" s="1"/>
      <c r="B953" s="2"/>
      <c r="C953" s="3"/>
      <c r="D953" s="1"/>
      <c r="E953" s="3"/>
      <c r="F953" s="3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9"/>
      <c r="S953" s="48"/>
      <c r="T953" s="1"/>
      <c r="U953" s="1"/>
      <c r="V953" s="1"/>
      <c r="W953" s="1"/>
      <c r="X953" s="1"/>
      <c r="Y953" s="1"/>
      <c r="Z953" s="1"/>
      <c r="AA953" s="1"/>
    </row>
    <row r="954" ht="12.75" customHeight="1">
      <c r="A954" s="1"/>
      <c r="B954" s="2"/>
      <c r="C954" s="3"/>
      <c r="D954" s="1"/>
      <c r="E954" s="3"/>
      <c r="F954" s="3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9"/>
      <c r="S954" s="48"/>
      <c r="T954" s="1"/>
      <c r="U954" s="1"/>
      <c r="V954" s="1"/>
      <c r="W954" s="1"/>
      <c r="X954" s="1"/>
      <c r="Y954" s="1"/>
      <c r="Z954" s="1"/>
      <c r="AA954" s="1"/>
    </row>
    <row r="955" ht="12.75" customHeight="1">
      <c r="A955" s="1"/>
      <c r="B955" s="2"/>
      <c r="C955" s="3"/>
      <c r="D955" s="1"/>
      <c r="E955" s="3"/>
      <c r="F955" s="3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9"/>
      <c r="S955" s="48"/>
      <c r="T955" s="1"/>
      <c r="U955" s="1"/>
      <c r="V955" s="1"/>
      <c r="W955" s="1"/>
      <c r="X955" s="1"/>
      <c r="Y955" s="1"/>
      <c r="Z955" s="1"/>
      <c r="AA955" s="1"/>
    </row>
    <row r="956" ht="12.75" customHeight="1">
      <c r="A956" s="1"/>
      <c r="B956" s="2"/>
      <c r="C956" s="3"/>
      <c r="D956" s="1"/>
      <c r="E956" s="3"/>
      <c r="F956" s="3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9"/>
      <c r="S956" s="48"/>
      <c r="T956" s="1"/>
      <c r="U956" s="1"/>
      <c r="V956" s="1"/>
      <c r="W956" s="1"/>
      <c r="X956" s="1"/>
      <c r="Y956" s="1"/>
      <c r="Z956" s="1"/>
      <c r="AA956" s="1"/>
    </row>
    <row r="957" ht="12.75" customHeight="1">
      <c r="A957" s="1"/>
      <c r="B957" s="2"/>
      <c r="C957" s="3"/>
      <c r="D957" s="1"/>
      <c r="E957" s="3"/>
      <c r="F957" s="3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9"/>
      <c r="S957" s="48"/>
      <c r="T957" s="1"/>
      <c r="U957" s="1"/>
      <c r="V957" s="1"/>
      <c r="W957" s="1"/>
      <c r="X957" s="1"/>
      <c r="Y957" s="1"/>
      <c r="Z957" s="1"/>
      <c r="AA957" s="1"/>
    </row>
    <row r="958" ht="12.75" customHeight="1">
      <c r="A958" s="1"/>
      <c r="B958" s="2"/>
      <c r="C958" s="3"/>
      <c r="D958" s="1"/>
      <c r="E958" s="3"/>
      <c r="F958" s="3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9"/>
      <c r="S958" s="48"/>
      <c r="T958" s="1"/>
      <c r="U958" s="1"/>
      <c r="V958" s="1"/>
      <c r="W958" s="1"/>
      <c r="X958" s="1"/>
      <c r="Y958" s="1"/>
      <c r="Z958" s="1"/>
      <c r="AA958" s="1"/>
    </row>
    <row r="959" ht="12.75" customHeight="1">
      <c r="A959" s="1"/>
      <c r="B959" s="2"/>
      <c r="C959" s="3"/>
      <c r="D959" s="1"/>
      <c r="E959" s="3"/>
      <c r="F959" s="3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9"/>
      <c r="S959" s="48"/>
      <c r="T959" s="1"/>
      <c r="U959" s="1"/>
      <c r="V959" s="1"/>
      <c r="W959" s="1"/>
      <c r="X959" s="1"/>
      <c r="Y959" s="1"/>
      <c r="Z959" s="1"/>
      <c r="AA959" s="1"/>
    </row>
    <row r="960" ht="12.75" customHeight="1">
      <c r="A960" s="1"/>
      <c r="B960" s="2"/>
      <c r="C960" s="3"/>
      <c r="D960" s="1"/>
      <c r="E960" s="3"/>
      <c r="F960" s="3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9"/>
      <c r="S960" s="48"/>
      <c r="T960" s="1"/>
      <c r="U960" s="1"/>
      <c r="V960" s="1"/>
      <c r="W960" s="1"/>
      <c r="X960" s="1"/>
      <c r="Y960" s="1"/>
      <c r="Z960" s="1"/>
      <c r="AA960" s="1"/>
    </row>
    <row r="961" ht="12.75" customHeight="1">
      <c r="A961" s="1"/>
      <c r="B961" s="2"/>
      <c r="C961" s="3"/>
      <c r="D961" s="1"/>
      <c r="E961" s="3"/>
      <c r="F961" s="3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9"/>
      <c r="S961" s="48"/>
      <c r="T961" s="1"/>
      <c r="U961" s="1"/>
      <c r="V961" s="1"/>
      <c r="W961" s="1"/>
      <c r="X961" s="1"/>
      <c r="Y961" s="1"/>
      <c r="Z961" s="1"/>
      <c r="AA961" s="1"/>
    </row>
    <row r="962" ht="12.75" customHeight="1">
      <c r="A962" s="1"/>
      <c r="B962" s="2"/>
      <c r="C962" s="3"/>
      <c r="D962" s="1"/>
      <c r="E962" s="3"/>
      <c r="F962" s="3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9"/>
      <c r="S962" s="48"/>
      <c r="T962" s="1"/>
      <c r="U962" s="1"/>
      <c r="V962" s="1"/>
      <c r="W962" s="1"/>
      <c r="X962" s="1"/>
      <c r="Y962" s="1"/>
      <c r="Z962" s="1"/>
      <c r="AA962" s="1"/>
    </row>
    <row r="963" ht="12.75" customHeight="1">
      <c r="A963" s="1"/>
      <c r="B963" s="2"/>
      <c r="C963" s="3"/>
      <c r="D963" s="1"/>
      <c r="E963" s="3"/>
      <c r="F963" s="3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9"/>
      <c r="S963" s="48"/>
      <c r="T963" s="1"/>
      <c r="U963" s="1"/>
      <c r="V963" s="1"/>
      <c r="W963" s="1"/>
      <c r="X963" s="1"/>
      <c r="Y963" s="1"/>
      <c r="Z963" s="1"/>
      <c r="AA963" s="1"/>
    </row>
    <row r="964" ht="12.75" customHeight="1">
      <c r="A964" s="1"/>
      <c r="B964" s="2"/>
      <c r="C964" s="3"/>
      <c r="D964" s="1"/>
      <c r="E964" s="3"/>
      <c r="F964" s="3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9"/>
      <c r="S964" s="48"/>
      <c r="T964" s="1"/>
      <c r="U964" s="1"/>
      <c r="V964" s="1"/>
      <c r="W964" s="1"/>
      <c r="X964" s="1"/>
      <c r="Y964" s="1"/>
      <c r="Z964" s="1"/>
      <c r="AA964" s="1"/>
    </row>
    <row r="965" ht="12.75" customHeight="1">
      <c r="A965" s="1"/>
      <c r="B965" s="2"/>
      <c r="C965" s="3"/>
      <c r="D965" s="1"/>
      <c r="E965" s="3"/>
      <c r="F965" s="3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9"/>
      <c r="S965" s="48"/>
      <c r="T965" s="1"/>
      <c r="U965" s="1"/>
      <c r="V965" s="1"/>
      <c r="W965" s="1"/>
      <c r="X965" s="1"/>
      <c r="Y965" s="1"/>
      <c r="Z965" s="1"/>
      <c r="AA965" s="1"/>
    </row>
    <row r="966" ht="12.75" customHeight="1">
      <c r="A966" s="1"/>
      <c r="B966" s="2"/>
      <c r="C966" s="3"/>
      <c r="D966" s="1"/>
      <c r="E966" s="3"/>
      <c r="F966" s="3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9"/>
      <c r="S966" s="48"/>
      <c r="T966" s="1"/>
      <c r="U966" s="1"/>
      <c r="V966" s="1"/>
      <c r="W966" s="1"/>
      <c r="X966" s="1"/>
      <c r="Y966" s="1"/>
      <c r="Z966" s="1"/>
      <c r="AA966" s="1"/>
    </row>
    <row r="967" ht="12.75" customHeight="1">
      <c r="A967" s="1"/>
      <c r="B967" s="2"/>
      <c r="C967" s="3"/>
      <c r="D967" s="1"/>
      <c r="E967" s="3"/>
      <c r="F967" s="3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9"/>
      <c r="S967" s="48"/>
      <c r="T967" s="1"/>
      <c r="U967" s="1"/>
      <c r="V967" s="1"/>
      <c r="W967" s="1"/>
      <c r="X967" s="1"/>
      <c r="Y967" s="1"/>
      <c r="Z967" s="1"/>
      <c r="AA967" s="1"/>
    </row>
    <row r="968" ht="12.75" customHeight="1">
      <c r="A968" s="1"/>
      <c r="B968" s="2"/>
      <c r="C968" s="3"/>
      <c r="D968" s="1"/>
      <c r="E968" s="3"/>
      <c r="F968" s="3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9"/>
      <c r="S968" s="48"/>
      <c r="T968" s="1"/>
      <c r="U968" s="1"/>
      <c r="V968" s="1"/>
      <c r="W968" s="1"/>
      <c r="X968" s="1"/>
      <c r="Y968" s="1"/>
      <c r="Z968" s="1"/>
      <c r="AA968" s="1"/>
    </row>
    <row r="969" ht="12.75" customHeight="1">
      <c r="A969" s="1"/>
      <c r="B969" s="2"/>
      <c r="C969" s="3"/>
      <c r="D969" s="1"/>
      <c r="E969" s="3"/>
      <c r="F969" s="3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9"/>
      <c r="S969" s="48"/>
      <c r="T969" s="1"/>
      <c r="U969" s="1"/>
      <c r="V969" s="1"/>
      <c r="W969" s="1"/>
      <c r="X969" s="1"/>
      <c r="Y969" s="1"/>
      <c r="Z969" s="1"/>
      <c r="AA969" s="1"/>
    </row>
    <row r="970" ht="12.75" customHeight="1">
      <c r="A970" s="1"/>
      <c r="B970" s="2"/>
      <c r="C970" s="3"/>
      <c r="D970" s="1"/>
      <c r="E970" s="3"/>
      <c r="F970" s="3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9"/>
      <c r="S970" s="48"/>
      <c r="T970" s="1"/>
      <c r="U970" s="1"/>
      <c r="V970" s="1"/>
      <c r="W970" s="1"/>
      <c r="X970" s="1"/>
      <c r="Y970" s="1"/>
      <c r="Z970" s="1"/>
      <c r="AA970" s="1"/>
    </row>
    <row r="971" ht="12.75" customHeight="1">
      <c r="A971" s="1"/>
      <c r="B971" s="2"/>
      <c r="C971" s="3"/>
      <c r="D971" s="1"/>
      <c r="E971" s="3"/>
      <c r="F971" s="3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9"/>
      <c r="S971" s="48"/>
      <c r="T971" s="1"/>
      <c r="U971" s="1"/>
      <c r="V971" s="1"/>
      <c r="W971" s="1"/>
      <c r="X971" s="1"/>
      <c r="Y971" s="1"/>
      <c r="Z971" s="1"/>
      <c r="AA971" s="1"/>
    </row>
    <row r="972" ht="12.75" customHeight="1">
      <c r="A972" s="1"/>
      <c r="B972" s="2"/>
      <c r="C972" s="3"/>
      <c r="D972" s="1"/>
      <c r="E972" s="3"/>
      <c r="F972" s="3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9"/>
      <c r="S972" s="48"/>
      <c r="T972" s="1"/>
      <c r="U972" s="1"/>
      <c r="V972" s="1"/>
      <c r="W972" s="1"/>
      <c r="X972" s="1"/>
      <c r="Y972" s="1"/>
      <c r="Z972" s="1"/>
      <c r="AA972" s="1"/>
    </row>
    <row r="973" ht="12.75" customHeight="1">
      <c r="A973" s="1"/>
      <c r="B973" s="2"/>
      <c r="C973" s="3"/>
      <c r="D973" s="1"/>
      <c r="E973" s="3"/>
      <c r="F973" s="3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9"/>
      <c r="S973" s="48"/>
      <c r="T973" s="1"/>
      <c r="U973" s="1"/>
      <c r="V973" s="1"/>
      <c r="W973" s="1"/>
      <c r="X973" s="1"/>
      <c r="Y973" s="1"/>
      <c r="Z973" s="1"/>
      <c r="AA973" s="1"/>
    </row>
    <row r="974" ht="12.75" customHeight="1">
      <c r="A974" s="1"/>
      <c r="B974" s="2"/>
      <c r="C974" s="3"/>
      <c r="D974" s="1"/>
      <c r="E974" s="3"/>
      <c r="F974" s="3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9"/>
      <c r="S974" s="48"/>
      <c r="T974" s="1"/>
      <c r="U974" s="1"/>
      <c r="V974" s="1"/>
      <c r="W974" s="1"/>
      <c r="X974" s="1"/>
      <c r="Y974" s="1"/>
      <c r="Z974" s="1"/>
      <c r="AA974" s="1"/>
    </row>
    <row r="975" ht="12.75" customHeight="1">
      <c r="A975" s="1"/>
      <c r="B975" s="2"/>
      <c r="C975" s="3"/>
      <c r="D975" s="1"/>
      <c r="E975" s="3"/>
      <c r="F975" s="3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9"/>
      <c r="S975" s="48"/>
      <c r="T975" s="1"/>
      <c r="U975" s="1"/>
      <c r="V975" s="1"/>
      <c r="W975" s="1"/>
      <c r="X975" s="1"/>
      <c r="Y975" s="1"/>
      <c r="Z975" s="1"/>
      <c r="AA975" s="1"/>
    </row>
    <row r="976" ht="12.75" customHeight="1">
      <c r="A976" s="1"/>
      <c r="B976" s="2"/>
      <c r="C976" s="3"/>
      <c r="D976" s="1"/>
      <c r="E976" s="3"/>
      <c r="F976" s="3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9"/>
      <c r="S976" s="48"/>
      <c r="T976" s="1"/>
      <c r="U976" s="1"/>
      <c r="V976" s="1"/>
      <c r="W976" s="1"/>
      <c r="X976" s="1"/>
      <c r="Y976" s="1"/>
      <c r="Z976" s="1"/>
      <c r="AA976" s="1"/>
    </row>
    <row r="977" ht="12.75" customHeight="1">
      <c r="A977" s="1"/>
      <c r="B977" s="2"/>
      <c r="C977" s="3"/>
      <c r="D977" s="1"/>
      <c r="E977" s="3"/>
      <c r="F977" s="3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9"/>
      <c r="S977" s="48"/>
      <c r="T977" s="1"/>
      <c r="U977" s="1"/>
      <c r="V977" s="1"/>
      <c r="W977" s="1"/>
      <c r="X977" s="1"/>
      <c r="Y977" s="1"/>
      <c r="Z977" s="1"/>
      <c r="AA977" s="1"/>
    </row>
    <row r="978" ht="12.75" customHeight="1">
      <c r="A978" s="1"/>
      <c r="B978" s="2"/>
      <c r="C978" s="3"/>
      <c r="D978" s="1"/>
      <c r="E978" s="3"/>
      <c r="F978" s="3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9"/>
      <c r="S978" s="48"/>
      <c r="T978" s="1"/>
      <c r="U978" s="1"/>
      <c r="V978" s="1"/>
      <c r="W978" s="1"/>
      <c r="X978" s="1"/>
      <c r="Y978" s="1"/>
      <c r="Z978" s="1"/>
      <c r="AA978" s="1"/>
    </row>
    <row r="979" ht="12.75" customHeight="1">
      <c r="A979" s="1"/>
      <c r="B979" s="2"/>
      <c r="C979" s="3"/>
      <c r="D979" s="1"/>
      <c r="E979" s="3"/>
      <c r="F979" s="3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9"/>
      <c r="S979" s="48"/>
      <c r="T979" s="1"/>
      <c r="U979" s="1"/>
      <c r="V979" s="1"/>
      <c r="W979" s="1"/>
      <c r="X979" s="1"/>
      <c r="Y979" s="1"/>
      <c r="Z979" s="1"/>
      <c r="AA979" s="1"/>
    </row>
    <row r="980" ht="12.75" customHeight="1">
      <c r="A980" s="1"/>
      <c r="B980" s="2"/>
      <c r="C980" s="3"/>
      <c r="D980" s="1"/>
      <c r="E980" s="3"/>
      <c r="F980" s="3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9"/>
      <c r="S980" s="48"/>
      <c r="T980" s="1"/>
      <c r="U980" s="1"/>
      <c r="V980" s="1"/>
      <c r="W980" s="1"/>
      <c r="X980" s="1"/>
      <c r="Y980" s="1"/>
      <c r="Z980" s="1"/>
      <c r="AA980" s="1"/>
    </row>
    <row r="981" ht="12.75" customHeight="1">
      <c r="A981" s="1"/>
      <c r="B981" s="2"/>
      <c r="C981" s="3"/>
      <c r="D981" s="1"/>
      <c r="E981" s="3"/>
      <c r="F981" s="3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9"/>
      <c r="S981" s="48"/>
      <c r="T981" s="1"/>
      <c r="U981" s="1"/>
      <c r="V981" s="1"/>
      <c r="W981" s="1"/>
      <c r="X981" s="1"/>
      <c r="Y981" s="1"/>
      <c r="Z981" s="1"/>
      <c r="AA981" s="1"/>
    </row>
    <row r="982" ht="12.75" customHeight="1">
      <c r="A982" s="1"/>
      <c r="B982" s="2"/>
      <c r="C982" s="3"/>
      <c r="D982" s="1"/>
      <c r="E982" s="3"/>
      <c r="F982" s="3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9"/>
      <c r="S982" s="48"/>
      <c r="T982" s="1"/>
      <c r="U982" s="1"/>
      <c r="V982" s="1"/>
      <c r="W982" s="1"/>
      <c r="X982" s="1"/>
      <c r="Y982" s="1"/>
      <c r="Z982" s="1"/>
      <c r="AA982" s="1"/>
    </row>
    <row r="983" ht="12.75" customHeight="1">
      <c r="A983" s="1"/>
      <c r="B983" s="2"/>
      <c r="C983" s="3"/>
      <c r="D983" s="1"/>
      <c r="E983" s="3"/>
      <c r="F983" s="3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9"/>
      <c r="S983" s="48"/>
      <c r="T983" s="1"/>
      <c r="U983" s="1"/>
      <c r="V983" s="1"/>
      <c r="W983" s="1"/>
      <c r="X983" s="1"/>
      <c r="Y983" s="1"/>
      <c r="Z983" s="1"/>
      <c r="AA983" s="1"/>
    </row>
    <row r="984" ht="12.75" customHeight="1">
      <c r="A984" s="1"/>
      <c r="B984" s="2"/>
      <c r="C984" s="3"/>
      <c r="D984" s="1"/>
      <c r="E984" s="3"/>
      <c r="F984" s="3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9"/>
      <c r="S984" s="48"/>
      <c r="T984" s="1"/>
      <c r="U984" s="1"/>
      <c r="V984" s="1"/>
      <c r="W984" s="1"/>
      <c r="X984" s="1"/>
      <c r="Y984" s="1"/>
      <c r="Z984" s="1"/>
      <c r="AA984" s="1"/>
    </row>
    <row r="985" ht="12.75" customHeight="1">
      <c r="A985" s="1"/>
      <c r="B985" s="2"/>
      <c r="C985" s="3"/>
      <c r="D985" s="1"/>
      <c r="E985" s="3"/>
      <c r="F985" s="3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9"/>
      <c r="S985" s="48"/>
      <c r="T985" s="1"/>
      <c r="U985" s="1"/>
      <c r="V985" s="1"/>
      <c r="W985" s="1"/>
      <c r="X985" s="1"/>
      <c r="Y985" s="1"/>
      <c r="Z985" s="1"/>
      <c r="AA985" s="1"/>
    </row>
    <row r="986" ht="12.75" customHeight="1">
      <c r="A986" s="1"/>
      <c r="B986" s="2"/>
      <c r="C986" s="3"/>
      <c r="D986" s="1"/>
      <c r="E986" s="3"/>
      <c r="F986" s="3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9"/>
      <c r="S986" s="48"/>
      <c r="T986" s="1"/>
      <c r="U986" s="1"/>
      <c r="V986" s="1"/>
      <c r="W986" s="1"/>
      <c r="X986" s="1"/>
      <c r="Y986" s="1"/>
      <c r="Z986" s="1"/>
      <c r="AA986" s="1"/>
    </row>
    <row r="987" ht="12.75" customHeight="1">
      <c r="A987" s="1"/>
      <c r="B987" s="2"/>
      <c r="C987" s="3"/>
      <c r="D987" s="1"/>
      <c r="E987" s="3"/>
      <c r="F987" s="3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9"/>
      <c r="S987" s="48"/>
      <c r="T987" s="1"/>
      <c r="U987" s="1"/>
      <c r="V987" s="1"/>
      <c r="W987" s="1"/>
      <c r="X987" s="1"/>
      <c r="Y987" s="1"/>
      <c r="Z987" s="1"/>
      <c r="AA987" s="1"/>
    </row>
    <row r="988" ht="12.75" customHeight="1">
      <c r="A988" s="1"/>
      <c r="B988" s="2"/>
      <c r="C988" s="3"/>
      <c r="D988" s="1"/>
      <c r="E988" s="3"/>
      <c r="F988" s="3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9"/>
      <c r="S988" s="48"/>
      <c r="T988" s="1"/>
      <c r="U988" s="1"/>
      <c r="V988" s="1"/>
      <c r="W988" s="1"/>
      <c r="X988" s="1"/>
      <c r="Y988" s="1"/>
      <c r="Z988" s="1"/>
      <c r="AA988" s="1"/>
    </row>
    <row r="989" ht="12.75" customHeight="1">
      <c r="A989" s="1"/>
      <c r="B989" s="2"/>
      <c r="C989" s="3"/>
      <c r="D989" s="1"/>
      <c r="E989" s="3"/>
      <c r="F989" s="3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9"/>
      <c r="S989" s="48"/>
      <c r="T989" s="1"/>
      <c r="U989" s="1"/>
      <c r="V989" s="1"/>
      <c r="W989" s="1"/>
      <c r="X989" s="1"/>
      <c r="Y989" s="1"/>
      <c r="Z989" s="1"/>
      <c r="AA989" s="1"/>
    </row>
    <row r="990" ht="12.75" customHeight="1">
      <c r="A990" s="1"/>
      <c r="B990" s="2"/>
      <c r="C990" s="3"/>
      <c r="D990" s="1"/>
      <c r="E990" s="3"/>
      <c r="F990" s="3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9"/>
      <c r="S990" s="48"/>
      <c r="T990" s="1"/>
      <c r="U990" s="1"/>
      <c r="V990" s="1"/>
      <c r="W990" s="1"/>
      <c r="X990" s="1"/>
      <c r="Y990" s="1"/>
      <c r="Z990" s="1"/>
      <c r="AA990" s="1"/>
    </row>
    <row r="991" ht="12.75" customHeight="1">
      <c r="A991" s="1"/>
      <c r="B991" s="2"/>
      <c r="C991" s="3"/>
      <c r="D991" s="1"/>
      <c r="E991" s="3"/>
      <c r="F991" s="3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9"/>
      <c r="S991" s="48"/>
      <c r="T991" s="1"/>
      <c r="U991" s="1"/>
      <c r="V991" s="1"/>
      <c r="W991" s="1"/>
      <c r="X991" s="1"/>
      <c r="Y991" s="1"/>
      <c r="Z991" s="1"/>
      <c r="AA991" s="1"/>
    </row>
    <row r="992" ht="12.75" customHeight="1">
      <c r="A992" s="1"/>
      <c r="B992" s="2"/>
      <c r="C992" s="3"/>
      <c r="D992" s="1"/>
      <c r="E992" s="3"/>
      <c r="F992" s="3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9"/>
      <c r="S992" s="48"/>
      <c r="T992" s="1"/>
      <c r="U992" s="1"/>
      <c r="V992" s="1"/>
      <c r="W992" s="1"/>
      <c r="X992" s="1"/>
      <c r="Y992" s="1"/>
      <c r="Z992" s="1"/>
      <c r="AA992" s="1"/>
    </row>
    <row r="993" ht="12.75" customHeight="1">
      <c r="A993" s="1"/>
      <c r="B993" s="2"/>
      <c r="C993" s="3"/>
      <c r="D993" s="1"/>
      <c r="E993" s="3"/>
      <c r="F993" s="3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9"/>
      <c r="S993" s="48"/>
      <c r="T993" s="1"/>
      <c r="U993" s="1"/>
      <c r="V993" s="1"/>
      <c r="W993" s="1"/>
      <c r="X993" s="1"/>
      <c r="Y993" s="1"/>
      <c r="Z993" s="1"/>
      <c r="AA993" s="1"/>
    </row>
    <row r="994" ht="12.75" customHeight="1">
      <c r="A994" s="1"/>
      <c r="B994" s="2"/>
      <c r="C994" s="3"/>
      <c r="D994" s="1"/>
      <c r="E994" s="3"/>
      <c r="F994" s="3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9"/>
      <c r="S994" s="48"/>
      <c r="T994" s="1"/>
      <c r="U994" s="1"/>
      <c r="V994" s="1"/>
      <c r="W994" s="1"/>
      <c r="X994" s="1"/>
      <c r="Y994" s="1"/>
      <c r="Z994" s="1"/>
      <c r="AA994" s="1"/>
    </row>
    <row r="995" ht="12.75" customHeight="1">
      <c r="A995" s="1"/>
      <c r="B995" s="2"/>
      <c r="C995" s="3"/>
      <c r="D995" s="1"/>
      <c r="E995" s="3"/>
      <c r="F995" s="3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9"/>
      <c r="S995" s="48"/>
      <c r="T995" s="1"/>
      <c r="U995" s="1"/>
      <c r="V995" s="1"/>
      <c r="W995" s="1"/>
      <c r="X995" s="1"/>
      <c r="Y995" s="1"/>
      <c r="Z995" s="1"/>
      <c r="AA995" s="1"/>
    </row>
    <row r="996" ht="12.75" customHeight="1">
      <c r="A996" s="1"/>
      <c r="B996" s="2"/>
      <c r="C996" s="3"/>
      <c r="D996" s="1"/>
      <c r="E996" s="3"/>
      <c r="F996" s="3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9"/>
      <c r="S996" s="48"/>
      <c r="T996" s="1"/>
      <c r="U996" s="1"/>
      <c r="V996" s="1"/>
      <c r="W996" s="1"/>
      <c r="X996" s="1"/>
      <c r="Y996" s="1"/>
      <c r="Z996" s="1"/>
      <c r="AA996" s="1"/>
    </row>
    <row r="997" ht="12.75" customHeight="1">
      <c r="A997" s="1"/>
      <c r="B997" s="2"/>
      <c r="C997" s="3"/>
      <c r="D997" s="1"/>
      <c r="E997" s="3"/>
      <c r="F997" s="3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9"/>
      <c r="S997" s="48"/>
      <c r="T997" s="1"/>
      <c r="U997" s="1"/>
      <c r="V997" s="1"/>
      <c r="W997" s="1"/>
      <c r="X997" s="1"/>
      <c r="Y997" s="1"/>
      <c r="Z997" s="1"/>
      <c r="AA997" s="1"/>
    </row>
    <row r="998" ht="12.75" customHeight="1">
      <c r="A998" s="1"/>
      <c r="B998" s="2"/>
      <c r="C998" s="3"/>
      <c r="D998" s="1"/>
      <c r="E998" s="3"/>
      <c r="F998" s="3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9"/>
      <c r="S998" s="48"/>
      <c r="T998" s="1"/>
      <c r="U998" s="1"/>
      <c r="V998" s="1"/>
      <c r="W998" s="1"/>
      <c r="X998" s="1"/>
      <c r="Y998" s="1"/>
      <c r="Z998" s="1"/>
      <c r="AA998" s="1"/>
    </row>
    <row r="999" ht="12.75" customHeight="1">
      <c r="A999" s="1"/>
      <c r="B999" s="2"/>
      <c r="C999" s="3"/>
      <c r="D999" s="1"/>
      <c r="E999" s="3"/>
      <c r="F999" s="3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9"/>
      <c r="S999" s="48"/>
      <c r="T999" s="1"/>
      <c r="U999" s="1"/>
      <c r="V999" s="1"/>
      <c r="W999" s="1"/>
      <c r="X999" s="1"/>
      <c r="Y999" s="1"/>
      <c r="Z999" s="1"/>
      <c r="AA999" s="1"/>
    </row>
    <row r="1000" ht="12.75" customHeight="1">
      <c r="A1000" s="1"/>
      <c r="B1000" s="2"/>
      <c r="C1000" s="3"/>
      <c r="D1000" s="1"/>
      <c r="E1000" s="3"/>
      <c r="F1000" s="3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9"/>
      <c r="S1000" s="48"/>
      <c r="T1000" s="1"/>
      <c r="U1000" s="1"/>
      <c r="V1000" s="1"/>
      <c r="W1000" s="1"/>
      <c r="X1000" s="1"/>
      <c r="Y1000" s="1"/>
      <c r="Z1000" s="1"/>
      <c r="AA1000" s="1"/>
    </row>
  </sheetData>
  <autoFilter ref="$J$13:$J$447"/>
  <mergeCells count="24">
    <mergeCell ref="N3:O3"/>
    <mergeCell ref="N4:O4"/>
    <mergeCell ref="N5:O5"/>
    <mergeCell ref="N6:O6"/>
    <mergeCell ref="N7:O7"/>
    <mergeCell ref="N8:O8"/>
    <mergeCell ref="B10:F10"/>
    <mergeCell ref="O11:O13"/>
    <mergeCell ref="P11:P13"/>
    <mergeCell ref="R11:R13"/>
    <mergeCell ref="S11:S13"/>
    <mergeCell ref="B12:B13"/>
    <mergeCell ref="C12:C13"/>
    <mergeCell ref="D12:D13"/>
    <mergeCell ref="E12:E13"/>
    <mergeCell ref="F12:F13"/>
    <mergeCell ref="D14:E14"/>
    <mergeCell ref="H10:P10"/>
    <mergeCell ref="R10:S10"/>
    <mergeCell ref="I11:I13"/>
    <mergeCell ref="K11:K13"/>
    <mergeCell ref="L11:L13"/>
    <mergeCell ref="M11:M13"/>
    <mergeCell ref="N11:N13"/>
  </mergeCells>
  <conditionalFormatting sqref="H15:P447">
    <cfRule type="expression" dxfId="0" priority="1">
      <formula>$H15=""</formula>
    </cfRule>
  </conditionalFormatting>
  <conditionalFormatting sqref="B15:F447">
    <cfRule type="expression" dxfId="0" priority="2">
      <formula>$H15=""</formula>
    </cfRule>
  </conditionalFormatting>
  <conditionalFormatting sqref="N6:P6">
    <cfRule type="expression" dxfId="1" priority="3">
      <formula>$P$6&lt;$D$3</formula>
    </cfRule>
  </conditionalFormatting>
  <printOptions/>
  <pageMargins bottom="0.75" footer="0.0" header="0.0" left="0.7" right="0.7" top="0.75"/>
  <pageSetup orientation="landscape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0C0C0"/>
    <pageSetUpPr/>
  </sheetPr>
  <sheetViews>
    <sheetView workbookViewId="0"/>
  </sheetViews>
  <sheetFormatPr customHeight="1" defaultColWidth="12.63" defaultRowHeight="15.0"/>
  <cols>
    <col customWidth="1" min="1" max="26" width="10.0"/>
  </cols>
  <sheetData>
    <row r="1" ht="12.75" customHeight="1">
      <c r="A1" s="11" t="s">
        <v>61</v>
      </c>
      <c r="D1" s="164" t="s">
        <v>62</v>
      </c>
      <c r="E1" s="165">
        <v>0.0225</v>
      </c>
      <c r="F1" s="164" t="s">
        <v>63</v>
      </c>
      <c r="G1" s="164">
        <v>7.0</v>
      </c>
    </row>
    <row r="2" ht="12.75" customHeight="1">
      <c r="A2" s="164" t="s">
        <v>58</v>
      </c>
    </row>
    <row r="3" ht="12.75" customHeight="1">
      <c r="A3" s="164">
        <f>TAM!H15</f>
        <v>1</v>
      </c>
      <c r="B3" s="166">
        <f>TAM!N15+(TAM!M15*0.7)</f>
        <v>6184</v>
      </c>
      <c r="C3" s="166">
        <f t="shared" ref="C3:C8" si="1">B3*(1+E$1)^(G$1-A3)</f>
        <v>7067.232531</v>
      </c>
    </row>
    <row r="4" ht="12.75" customHeight="1">
      <c r="A4" s="164">
        <f>TAM!H16</f>
        <v>2</v>
      </c>
      <c r="B4" s="166">
        <f>TAM!N16+(TAM!M16*0.7)</f>
        <v>6244.9</v>
      </c>
      <c r="C4" s="166">
        <f t="shared" si="1"/>
        <v>6979.785428</v>
      </c>
    </row>
    <row r="5" ht="12.75" customHeight="1">
      <c r="A5" s="164">
        <f>TAM!H17</f>
        <v>3</v>
      </c>
      <c r="B5" s="166">
        <f>TAM!N17+(TAM!M17*0.7)</f>
        <v>6307.9</v>
      </c>
      <c r="C5" s="166">
        <f t="shared" si="1"/>
        <v>6895.060267</v>
      </c>
    </row>
    <row r="6" ht="12.75" customHeight="1">
      <c r="A6" s="164">
        <f>TAM!H18</f>
        <v>4</v>
      </c>
      <c r="B6" s="166">
        <f>TAM!N18+(TAM!M18*0.7)</f>
        <v>6373.6</v>
      </c>
      <c r="C6" s="166">
        <f t="shared" si="1"/>
        <v>6813.570504</v>
      </c>
    </row>
    <row r="7" ht="12.75" customHeight="1">
      <c r="A7" s="164">
        <f>TAM!H19</f>
        <v>5</v>
      </c>
      <c r="B7" s="166">
        <f>TAM!N19+(TAM!M19*0.7)</f>
        <v>6442</v>
      </c>
      <c r="C7" s="166">
        <f t="shared" si="1"/>
        <v>6735.151263</v>
      </c>
    </row>
    <row r="8" ht="12.75" customHeight="1">
      <c r="A8" s="164">
        <f>TAM!H20</f>
        <v>6</v>
      </c>
      <c r="B8" s="166">
        <f>TAM!N20+(TAM!M20*0.7)</f>
        <v>6513.1</v>
      </c>
      <c r="C8" s="166">
        <f t="shared" si="1"/>
        <v>6659.64475</v>
      </c>
    </row>
    <row r="9" ht="12.75" customHeight="1">
      <c r="A9" s="164">
        <f>TAM!H21</f>
        <v>7</v>
      </c>
      <c r="B9" s="166">
        <f>TAM!N21+(TAM!M21*0.7)</f>
        <v>6587.2</v>
      </c>
      <c r="C9" s="166"/>
    </row>
    <row r="10" ht="12.75" customHeight="1">
      <c r="C10" s="166">
        <f>SUM(C3:C9)</f>
        <v>41150.44474</v>
      </c>
    </row>
    <row r="11" ht="12.75" customHeight="1">
      <c r="A11" s="164" t="str">
        <f>TAM!H23</f>
        <v/>
      </c>
    </row>
    <row r="12" ht="12.75" customHeight="1">
      <c r="A12" s="164" t="str">
        <f>TAM!H24</f>
        <v/>
      </c>
    </row>
    <row r="13" ht="12.75" customHeight="1">
      <c r="A13" s="164" t="str">
        <f>TAM!H25</f>
        <v/>
      </c>
    </row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A1:C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0C0C0"/>
    <pageSetUpPr/>
  </sheetPr>
  <sheetViews>
    <sheetView showGridLines="0" workbookViewId="0"/>
  </sheetViews>
  <sheetFormatPr customHeight="1" defaultColWidth="12.63" defaultRowHeight="15.0"/>
  <cols>
    <col customWidth="1" min="1" max="1" width="4.63"/>
    <col customWidth="1" min="2" max="7" width="12.63"/>
    <col customWidth="1" min="8" max="8" width="10.0"/>
    <col customWidth="1" hidden="1" min="9" max="9" width="11.63"/>
    <col customWidth="1" min="10" max="26" width="10.0"/>
  </cols>
  <sheetData>
    <row r="1" ht="12.75" customHeight="1">
      <c r="I1" s="1" t="s">
        <v>64</v>
      </c>
    </row>
    <row r="2" ht="12.75" customHeight="1">
      <c r="B2" s="167" t="s">
        <v>65</v>
      </c>
      <c r="C2" s="168"/>
      <c r="D2" s="168"/>
      <c r="E2" s="168"/>
      <c r="F2" s="169"/>
      <c r="G2" s="170"/>
      <c r="I2" s="1" t="s">
        <v>66</v>
      </c>
    </row>
    <row r="3" ht="12.75" customHeight="1">
      <c r="B3" s="171" t="s">
        <v>67</v>
      </c>
      <c r="C3" s="172"/>
      <c r="D3" s="173">
        <v>0.0</v>
      </c>
      <c r="E3" s="172"/>
      <c r="F3" s="172"/>
      <c r="G3" s="174"/>
      <c r="I3" s="1" t="s">
        <v>68</v>
      </c>
    </row>
    <row r="4" ht="12.75" customHeight="1">
      <c r="B4" s="1"/>
      <c r="C4" s="1"/>
      <c r="D4" s="1"/>
      <c r="E4" s="1"/>
      <c r="F4" s="1"/>
      <c r="G4" s="1"/>
      <c r="I4" s="1" t="s">
        <v>69</v>
      </c>
    </row>
    <row r="5" ht="12.75" customHeight="1">
      <c r="B5" s="167" t="s">
        <v>70</v>
      </c>
      <c r="C5" s="168"/>
      <c r="D5" s="168"/>
      <c r="E5" s="168"/>
      <c r="F5" s="168"/>
      <c r="G5" s="175"/>
      <c r="I5" s="1"/>
    </row>
    <row r="6" ht="12.75" customHeight="1">
      <c r="B6" s="176"/>
      <c r="C6" s="177"/>
      <c r="D6" s="177"/>
      <c r="E6" s="177"/>
      <c r="F6" s="177"/>
      <c r="G6" s="178"/>
      <c r="I6" s="1"/>
    </row>
    <row r="7" ht="12.75" customHeight="1">
      <c r="B7" s="179"/>
      <c r="C7" s="180"/>
      <c r="D7" s="180"/>
      <c r="E7" s="180"/>
      <c r="F7" s="180"/>
      <c r="G7" s="181"/>
      <c r="I7" s="1"/>
    </row>
    <row r="8" ht="12.75" customHeight="1">
      <c r="B8" s="179"/>
      <c r="C8" s="180"/>
      <c r="D8" s="180"/>
      <c r="E8" s="180"/>
      <c r="F8" s="180"/>
      <c r="G8" s="181"/>
      <c r="I8" s="1"/>
    </row>
    <row r="9" ht="12.75" customHeight="1">
      <c r="B9" s="182"/>
      <c r="C9" s="183"/>
      <c r="D9" s="183"/>
      <c r="E9" s="183"/>
      <c r="F9" s="183"/>
      <c r="G9" s="184"/>
      <c r="I9" s="185">
        <v>1.0</v>
      </c>
    </row>
    <row r="10" ht="12.75" customHeight="1">
      <c r="B10" s="1"/>
      <c r="C10" s="1"/>
      <c r="D10" s="1"/>
      <c r="E10" s="1"/>
      <c r="F10" s="1"/>
      <c r="G10" s="1"/>
      <c r="I10" s="1"/>
    </row>
    <row r="11" ht="12.75" customHeight="1">
      <c r="B11" s="167" t="s">
        <v>71</v>
      </c>
      <c r="C11" s="168"/>
      <c r="D11" s="168"/>
      <c r="E11" s="168"/>
      <c r="F11" s="169"/>
      <c r="G11" s="170"/>
      <c r="I11" s="1"/>
    </row>
    <row r="12" ht="12.75" customHeight="1">
      <c r="B12" s="176"/>
      <c r="C12" s="177"/>
      <c r="D12" s="177"/>
      <c r="E12" s="177"/>
      <c r="F12" s="177"/>
      <c r="G12" s="178"/>
      <c r="I12" s="186" t="b">
        <v>0</v>
      </c>
    </row>
    <row r="13" ht="12.75" customHeight="1">
      <c r="B13" s="179"/>
      <c r="C13" s="180"/>
      <c r="D13" s="180"/>
      <c r="E13" s="180"/>
      <c r="F13" s="180"/>
      <c r="G13" s="181"/>
      <c r="I13" s="1"/>
    </row>
    <row r="14" ht="12.75" customHeight="1">
      <c r="B14" s="179"/>
      <c r="C14" s="187" t="s">
        <v>72</v>
      </c>
      <c r="D14" s="173"/>
      <c r="E14" s="180" t="s">
        <v>73</v>
      </c>
      <c r="F14" s="188">
        <v>114.0</v>
      </c>
      <c r="G14" s="181" t="s">
        <v>15</v>
      </c>
      <c r="I14" s="1"/>
    </row>
    <row r="15" ht="12.75" customHeight="1">
      <c r="B15" s="179"/>
      <c r="C15" s="180"/>
      <c r="D15" s="180"/>
      <c r="E15" s="180"/>
      <c r="F15" s="180"/>
      <c r="G15" s="181"/>
      <c r="I15" s="189" t="b">
        <v>0</v>
      </c>
    </row>
    <row r="16" ht="12.75" customHeight="1">
      <c r="B16" s="179"/>
      <c r="C16" s="180"/>
      <c r="D16" s="180"/>
      <c r="E16" s="180"/>
      <c r="F16" s="180"/>
      <c r="G16" s="181"/>
      <c r="I16" s="1"/>
    </row>
    <row r="17" ht="12.75" customHeight="1">
      <c r="B17" s="182"/>
      <c r="C17" s="183"/>
      <c r="D17" s="189">
        <f>IF(I12=TRUE,(D14*12+F14)*NbEchAn/12,99999)</f>
        <v>99999</v>
      </c>
      <c r="E17" s="189">
        <f>IF(AND(I12,I15),(D14*12+F14)*NbEchAn/12,99999)</f>
        <v>99999</v>
      </c>
      <c r="F17" s="183"/>
      <c r="G17" s="184"/>
      <c r="I17" s="1"/>
    </row>
    <row r="18" ht="12.75" customHeight="1">
      <c r="I18" s="1"/>
    </row>
    <row r="19" ht="12.75" customHeight="1">
      <c r="B19" s="167" t="s">
        <v>74</v>
      </c>
      <c r="C19" s="168"/>
      <c r="D19" s="168"/>
      <c r="E19" s="168"/>
      <c r="F19" s="168"/>
      <c r="G19" s="175"/>
      <c r="I19" s="1"/>
    </row>
    <row r="20" ht="12.75" customHeight="1">
      <c r="B20" s="190"/>
      <c r="C20" s="191"/>
      <c r="D20" s="191"/>
      <c r="E20" s="191"/>
      <c r="F20" s="180"/>
      <c r="G20" s="181"/>
      <c r="I20" s="1"/>
    </row>
    <row r="21" ht="12.75" customHeight="1">
      <c r="B21" s="179" t="s">
        <v>75</v>
      </c>
      <c r="C21" s="180"/>
      <c r="D21" s="192">
        <f>DebAmort</f>
        <v>46174</v>
      </c>
      <c r="E21" s="191"/>
      <c r="F21" s="180"/>
      <c r="G21" s="181"/>
      <c r="I21" s="1"/>
    </row>
    <row r="22" ht="12.75" customHeight="1">
      <c r="B22" s="179" t="s">
        <v>76</v>
      </c>
      <c r="C22" s="180"/>
      <c r="D22" s="192">
        <f>IF(Ijour=0,MIN(DATE(YEAR(DebAmort),MONTH(DebAmort)-MoisD-Imois,Jour2),DATE(YEAR(DebAmort),MONTH(DebAmort)-MoisD+1-Imois,0)),DATE(YEAR(DebAmort),MONTH(DebAmort),Jour1-Ijour))</f>
        <v>45809</v>
      </c>
      <c r="E22" s="193" t="str">
        <f>"   (Durée période : "&amp;F37&amp;" jours)"</f>
        <v>   (Durée période : 365 jours)</v>
      </c>
      <c r="F22" s="180"/>
      <c r="G22" s="181"/>
      <c r="I22" s="1"/>
    </row>
    <row r="23" ht="12.75" customHeight="1">
      <c r="B23" s="179" t="s">
        <v>77</v>
      </c>
      <c r="C23" s="180"/>
      <c r="D23" s="194">
        <f>D22+I23-500</f>
        <v>45816</v>
      </c>
      <c r="E23" s="193" t="str">
        <f>"   (Durée période : "&amp;G37&amp;" jours)"</f>
        <v>   (Durée période : 358 jours)</v>
      </c>
      <c r="F23" s="180"/>
      <c r="G23" s="181"/>
      <c r="I23" s="181">
        <v>507.0</v>
      </c>
    </row>
    <row r="24" ht="12.75" customHeight="1">
      <c r="B24" s="190"/>
      <c r="C24" s="191"/>
      <c r="D24" s="191"/>
      <c r="E24" s="191"/>
      <c r="F24" s="180"/>
      <c r="G24" s="181"/>
      <c r="I24" s="1"/>
    </row>
    <row r="25" ht="12.75" customHeight="1">
      <c r="B25" s="190"/>
      <c r="C25" s="191"/>
      <c r="D25" s="191"/>
      <c r="E25" s="191"/>
      <c r="F25" s="180"/>
      <c r="G25" s="181"/>
      <c r="I25" s="1"/>
    </row>
    <row r="26" ht="12.75" customHeight="1">
      <c r="B26" s="190"/>
      <c r="C26" s="191"/>
      <c r="D26" s="191"/>
      <c r="E26" s="191"/>
      <c r="F26" s="180"/>
      <c r="G26" s="181"/>
      <c r="I26" s="1"/>
    </row>
    <row r="27" ht="12.75" customHeight="1">
      <c r="B27" s="190"/>
      <c r="C27" s="191"/>
      <c r="D27" s="191"/>
      <c r="E27" s="191"/>
      <c r="F27" s="180"/>
      <c r="G27" s="181"/>
      <c r="I27" s="195">
        <v>1.0</v>
      </c>
    </row>
    <row r="28" ht="12.75" customHeight="1">
      <c r="B28" s="190"/>
      <c r="C28" s="191"/>
      <c r="D28" s="191"/>
      <c r="E28" s="191"/>
      <c r="F28" s="180"/>
      <c r="G28" s="181"/>
      <c r="I28" s="1"/>
    </row>
    <row r="29" ht="12.75" customHeight="1">
      <c r="B29" s="190"/>
      <c r="C29" s="191"/>
      <c r="D29" s="191"/>
      <c r="E29" s="191"/>
      <c r="F29" s="180"/>
      <c r="G29" s="181"/>
      <c r="I29" s="1"/>
    </row>
    <row r="30" ht="12.75" customHeight="1">
      <c r="B30" s="190"/>
      <c r="C30" s="191"/>
      <c r="D30" s="191"/>
      <c r="E30" s="191"/>
      <c r="F30" s="180"/>
      <c r="G30" s="181"/>
      <c r="I30" s="1"/>
    </row>
    <row r="31" ht="12.75" customHeight="1">
      <c r="B31" s="190"/>
      <c r="C31" s="191"/>
      <c r="D31" s="191"/>
      <c r="E31" s="191"/>
      <c r="F31" s="180"/>
      <c r="G31" s="181"/>
      <c r="I31" s="1"/>
    </row>
    <row r="32" ht="12.75" customHeight="1">
      <c r="B32" s="196"/>
      <c r="C32" s="180"/>
      <c r="D32" s="197" t="s">
        <v>78</v>
      </c>
      <c r="E32" s="197" t="s">
        <v>79</v>
      </c>
      <c r="F32" s="197" t="s">
        <v>80</v>
      </c>
      <c r="G32" s="198"/>
      <c r="I32" s="1"/>
    </row>
    <row r="33" ht="12.75" customHeight="1">
      <c r="B33" s="179" t="s">
        <v>81</v>
      </c>
      <c r="C33" s="180"/>
      <c r="D33" s="199">
        <f>D22</f>
        <v>45809</v>
      </c>
      <c r="E33" s="199">
        <f>D23</f>
        <v>45816</v>
      </c>
      <c r="F33" s="199">
        <f>D23</f>
        <v>45816</v>
      </c>
      <c r="G33" s="200"/>
      <c r="I33" s="1"/>
    </row>
    <row r="34" ht="12.75" customHeight="1">
      <c r="B34" s="179" t="s">
        <v>82</v>
      </c>
      <c r="C34" s="180"/>
      <c r="D34" s="201">
        <f>ROUND(TAM!L15*TAM!R15,NbDeci)</f>
        <v>1600</v>
      </c>
      <c r="E34" s="201">
        <f>IF(TauxActuariel,ROUND(TAM!L15*(((TAM!D5+1)^(G37/365))-1),NbDeci),ROUND(TAM!L15*(TAM!D5*G37/365),NbDeci))</f>
        <v>1569</v>
      </c>
      <c r="F34" s="202"/>
      <c r="G34" s="203"/>
      <c r="I34" s="1"/>
    </row>
    <row r="35" ht="12.75" customHeight="1">
      <c r="B35" s="179" t="s">
        <v>83</v>
      </c>
      <c r="C35" s="180"/>
      <c r="D35" s="201">
        <f>IF(1&lt;=Différé,IF(DiffTotal,-D34,0),TAM!S15-(D34*EchFIXE))</f>
        <v>5064</v>
      </c>
      <c r="E35" s="201">
        <f>IF(AND(1&lt;=Différé,DiffTotal),-E34,D35)</f>
        <v>5064</v>
      </c>
      <c r="F35" s="202"/>
      <c r="G35" s="203"/>
      <c r="I35" s="1"/>
    </row>
    <row r="36" ht="12.75" customHeight="1">
      <c r="B36" s="179" t="s">
        <v>84</v>
      </c>
      <c r="C36" s="180"/>
      <c r="D36" s="201">
        <f t="shared" ref="D36:F36" si="1">D34+D35</f>
        <v>6664</v>
      </c>
      <c r="E36" s="201">
        <f t="shared" si="1"/>
        <v>6633</v>
      </c>
      <c r="F36" s="201">
        <f t="shared" si="1"/>
        <v>0</v>
      </c>
      <c r="G36" s="203"/>
      <c r="I36" s="1"/>
    </row>
    <row r="37" ht="12.75" customHeight="1">
      <c r="B37" s="182"/>
      <c r="C37" s="204">
        <f>IF(I27=1,D22,D23)</f>
        <v>45809</v>
      </c>
      <c r="D37" s="205">
        <f>IF(I27=1,D34)+IF(I27=2,E34)+IF(I27=3,F34)</f>
        <v>1600</v>
      </c>
      <c r="E37" s="205">
        <f>IF(I27=1,D35)+IF(I27=2,E35)+IF(I27=3,F35)</f>
        <v>5064</v>
      </c>
      <c r="F37" s="189">
        <f>D21-D22</f>
        <v>365</v>
      </c>
      <c r="G37" s="206">
        <f>D21-D23</f>
        <v>358</v>
      </c>
      <c r="I37" s="1"/>
    </row>
    <row r="38" ht="12.75" customHeight="1">
      <c r="I38" s="1"/>
    </row>
    <row r="39" ht="12.75" customHeight="1">
      <c r="I39" s="1"/>
    </row>
    <row r="40" ht="12.75" customHeight="1">
      <c r="I40" s="1"/>
    </row>
    <row r="41" ht="12.75" customHeight="1">
      <c r="I41" s="1"/>
    </row>
    <row r="42" ht="12.75" customHeight="1">
      <c r="I42" s="1"/>
    </row>
    <row r="43" ht="12.75" customHeight="1">
      <c r="I43" s="1"/>
    </row>
    <row r="44" ht="12.75" customHeight="1">
      <c r="I44" s="1"/>
    </row>
    <row r="45" ht="12.75" customHeight="1">
      <c r="I45" s="1"/>
    </row>
    <row r="46" ht="12.75" customHeight="1">
      <c r="I46" s="1"/>
    </row>
    <row r="47" ht="12.75" customHeight="1">
      <c r="I47" s="1"/>
    </row>
    <row r="48" ht="12.75" customHeight="1">
      <c r="I48" s="1"/>
    </row>
    <row r="49" ht="12.75" customHeight="1">
      <c r="I49" s="1"/>
    </row>
    <row r="50" ht="12.75" customHeight="1">
      <c r="I50" s="1"/>
    </row>
    <row r="51" ht="12.75" customHeight="1">
      <c r="I51" s="1"/>
    </row>
    <row r="52" ht="12.75" customHeight="1">
      <c r="I52" s="1"/>
    </row>
    <row r="53" ht="12.75" customHeight="1">
      <c r="I53" s="1"/>
    </row>
    <row r="54" ht="12.75" customHeight="1">
      <c r="I54" s="1"/>
    </row>
    <row r="55" ht="12.75" customHeight="1">
      <c r="I55" s="1"/>
    </row>
    <row r="56" ht="12.75" customHeight="1">
      <c r="I56" s="1"/>
    </row>
    <row r="57" ht="12.75" customHeight="1">
      <c r="I57" s="1"/>
    </row>
    <row r="58" ht="12.75" customHeight="1">
      <c r="I58" s="1"/>
    </row>
    <row r="59" ht="12.75" customHeight="1">
      <c r="I59" s="1"/>
    </row>
    <row r="60" ht="12.75" customHeight="1">
      <c r="I60" s="1"/>
    </row>
    <row r="61" ht="12.75" customHeight="1">
      <c r="I61" s="1"/>
    </row>
    <row r="62" ht="12.75" customHeight="1">
      <c r="I62" s="1"/>
    </row>
    <row r="63" ht="12.75" customHeight="1">
      <c r="I63" s="1"/>
    </row>
    <row r="64" ht="12.75" customHeight="1">
      <c r="I64" s="1"/>
    </row>
    <row r="65" ht="12.75" customHeight="1">
      <c r="I65" s="1"/>
    </row>
    <row r="66" ht="12.75" customHeight="1">
      <c r="I66" s="1"/>
    </row>
    <row r="67" ht="12.75" customHeight="1">
      <c r="I67" s="1"/>
    </row>
    <row r="68" ht="12.75" customHeight="1">
      <c r="I68" s="1"/>
    </row>
    <row r="69" ht="12.75" customHeight="1">
      <c r="I69" s="1"/>
    </row>
    <row r="70" ht="12.75" customHeight="1">
      <c r="I70" s="1"/>
    </row>
    <row r="71" ht="12.75" customHeight="1">
      <c r="I71" s="1"/>
    </row>
    <row r="72" ht="12.75" customHeight="1">
      <c r="I72" s="1"/>
    </row>
    <row r="73" ht="12.75" customHeight="1">
      <c r="I73" s="1"/>
    </row>
    <row r="74" ht="12.75" customHeight="1">
      <c r="I74" s="1"/>
    </row>
    <row r="75" ht="12.75" customHeight="1">
      <c r="I75" s="1"/>
    </row>
    <row r="76" ht="12.75" customHeight="1">
      <c r="I76" s="1"/>
    </row>
    <row r="77" ht="12.75" customHeight="1">
      <c r="I77" s="1"/>
    </row>
    <row r="78" ht="12.75" customHeight="1">
      <c r="I78" s="1"/>
    </row>
    <row r="79" ht="12.75" customHeight="1">
      <c r="I79" s="1"/>
    </row>
    <row r="80" ht="12.75" customHeight="1">
      <c r="I80" s="1"/>
    </row>
    <row r="81" ht="12.75" customHeight="1">
      <c r="I81" s="1"/>
    </row>
    <row r="82" ht="12.75" customHeight="1">
      <c r="I82" s="1"/>
    </row>
    <row r="83" ht="12.75" customHeight="1">
      <c r="I83" s="1"/>
    </row>
    <row r="84" ht="12.75" customHeight="1">
      <c r="I84" s="1"/>
    </row>
    <row r="85" ht="12.75" customHeight="1">
      <c r="I85" s="1"/>
    </row>
    <row r="86" ht="12.75" customHeight="1">
      <c r="I86" s="1"/>
    </row>
    <row r="87" ht="12.75" customHeight="1">
      <c r="I87" s="1"/>
    </row>
    <row r="88" ht="12.75" customHeight="1">
      <c r="I88" s="1"/>
    </row>
    <row r="89" ht="12.75" customHeight="1">
      <c r="I89" s="1"/>
    </row>
    <row r="90" ht="12.75" customHeight="1">
      <c r="I90" s="1"/>
    </row>
    <row r="91" ht="12.75" customHeight="1">
      <c r="I91" s="1"/>
    </row>
    <row r="92" ht="12.75" customHeight="1">
      <c r="I92" s="1"/>
    </row>
    <row r="93" ht="12.75" customHeight="1">
      <c r="I93" s="1"/>
    </row>
    <row r="94" ht="12.75" customHeight="1">
      <c r="I94" s="1"/>
    </row>
    <row r="95" ht="12.75" customHeight="1">
      <c r="I95" s="1"/>
    </row>
    <row r="96" ht="12.75" customHeight="1">
      <c r="I96" s="1"/>
    </row>
    <row r="97" ht="12.75" customHeight="1">
      <c r="I97" s="1"/>
    </row>
    <row r="98" ht="12.75" customHeight="1">
      <c r="I98" s="1"/>
    </row>
    <row r="99" ht="12.75" customHeight="1">
      <c r="I99" s="1"/>
    </row>
    <row r="100" ht="12.75" customHeight="1">
      <c r="I100" s="1"/>
    </row>
    <row r="101" ht="12.75" customHeight="1">
      <c r="I101" s="1"/>
    </row>
    <row r="102" ht="12.75" customHeight="1">
      <c r="I102" s="1"/>
    </row>
    <row r="103" ht="12.75" customHeight="1">
      <c r="I103" s="1"/>
    </row>
    <row r="104" ht="12.75" customHeight="1">
      <c r="I104" s="1"/>
    </row>
    <row r="105" ht="12.75" customHeight="1">
      <c r="I105" s="1"/>
    </row>
    <row r="106" ht="12.75" customHeight="1">
      <c r="I106" s="1"/>
    </row>
    <row r="107" ht="12.75" customHeight="1">
      <c r="I107" s="1"/>
    </row>
    <row r="108" ht="12.75" customHeight="1">
      <c r="I108" s="1"/>
    </row>
    <row r="109" ht="12.75" customHeight="1">
      <c r="I109" s="1"/>
    </row>
    <row r="110" ht="12.75" customHeight="1">
      <c r="I110" s="1"/>
    </row>
    <row r="111" ht="12.75" customHeight="1">
      <c r="I111" s="1"/>
    </row>
    <row r="112" ht="12.75" customHeight="1">
      <c r="I112" s="1"/>
    </row>
    <row r="113" ht="12.75" customHeight="1">
      <c r="I113" s="1"/>
    </row>
    <row r="114" ht="12.75" customHeight="1">
      <c r="I114" s="1"/>
    </row>
    <row r="115" ht="12.75" customHeight="1">
      <c r="I115" s="1"/>
    </row>
    <row r="116" ht="12.75" customHeight="1">
      <c r="I116" s="1"/>
    </row>
    <row r="117" ht="12.75" customHeight="1">
      <c r="I117" s="1"/>
    </row>
    <row r="118" ht="12.75" customHeight="1">
      <c r="I118" s="1"/>
    </row>
    <row r="119" ht="12.75" customHeight="1">
      <c r="I119" s="1"/>
    </row>
    <row r="120" ht="12.75" customHeight="1">
      <c r="I120" s="1"/>
    </row>
    <row r="121" ht="12.75" customHeight="1">
      <c r="I121" s="1"/>
    </row>
    <row r="122" ht="12.75" customHeight="1">
      <c r="I122" s="1"/>
    </row>
    <row r="123" ht="12.75" customHeight="1">
      <c r="I123" s="1"/>
    </row>
    <row r="124" ht="12.75" customHeight="1">
      <c r="I124" s="1"/>
    </row>
    <row r="125" ht="12.75" customHeight="1">
      <c r="I125" s="1"/>
    </row>
    <row r="126" ht="12.75" customHeight="1">
      <c r="I126" s="1"/>
    </row>
    <row r="127" ht="12.75" customHeight="1">
      <c r="I127" s="1"/>
    </row>
    <row r="128" ht="12.75" customHeight="1">
      <c r="I128" s="1"/>
    </row>
    <row r="129" ht="12.75" customHeight="1">
      <c r="I129" s="1"/>
    </row>
    <row r="130" ht="12.75" customHeight="1">
      <c r="I130" s="1"/>
    </row>
    <row r="131" ht="12.75" customHeight="1">
      <c r="I131" s="1"/>
    </row>
    <row r="132" ht="12.75" customHeight="1">
      <c r="I132" s="1"/>
    </row>
    <row r="133" ht="12.75" customHeight="1">
      <c r="I133" s="1"/>
    </row>
    <row r="134" ht="12.75" customHeight="1">
      <c r="I134" s="1"/>
    </row>
    <row r="135" ht="12.75" customHeight="1">
      <c r="I135" s="1"/>
    </row>
    <row r="136" ht="12.75" customHeight="1">
      <c r="I136" s="1"/>
    </row>
    <row r="137" ht="12.75" customHeight="1">
      <c r="I137" s="1"/>
    </row>
    <row r="138" ht="12.75" customHeight="1">
      <c r="I138" s="1"/>
    </row>
    <row r="139" ht="12.75" customHeight="1">
      <c r="I139" s="1"/>
    </row>
    <row r="140" ht="12.75" customHeight="1">
      <c r="I140" s="1"/>
    </row>
    <row r="141" ht="12.75" customHeight="1">
      <c r="I141" s="1"/>
    </row>
    <row r="142" ht="12.75" customHeight="1">
      <c r="I142" s="1"/>
    </row>
    <row r="143" ht="12.75" customHeight="1">
      <c r="I143" s="1"/>
    </row>
    <row r="144" ht="12.75" customHeight="1">
      <c r="I144" s="1"/>
    </row>
    <row r="145" ht="12.75" customHeight="1">
      <c r="I145" s="1"/>
    </row>
    <row r="146" ht="12.75" customHeight="1">
      <c r="I146" s="1"/>
    </row>
    <row r="147" ht="12.75" customHeight="1">
      <c r="I147" s="1"/>
    </row>
    <row r="148" ht="12.75" customHeight="1">
      <c r="I148" s="1"/>
    </row>
    <row r="149" ht="12.75" customHeight="1">
      <c r="I149" s="1"/>
    </row>
    <row r="150" ht="12.75" customHeight="1">
      <c r="I150" s="1"/>
    </row>
    <row r="151" ht="12.75" customHeight="1">
      <c r="I151" s="1"/>
    </row>
    <row r="152" ht="12.75" customHeight="1">
      <c r="I152" s="1"/>
    </row>
    <row r="153" ht="12.75" customHeight="1">
      <c r="I153" s="1"/>
    </row>
    <row r="154" ht="12.75" customHeight="1">
      <c r="I154" s="1"/>
    </row>
    <row r="155" ht="12.75" customHeight="1">
      <c r="I155" s="1"/>
    </row>
    <row r="156" ht="12.75" customHeight="1">
      <c r="I156" s="1"/>
    </row>
    <row r="157" ht="12.75" customHeight="1">
      <c r="I157" s="1"/>
    </row>
    <row r="158" ht="12.75" customHeight="1">
      <c r="I158" s="1"/>
    </row>
    <row r="159" ht="12.75" customHeight="1">
      <c r="I159" s="1"/>
    </row>
    <row r="160" ht="12.75" customHeight="1">
      <c r="I160" s="1"/>
    </row>
    <row r="161" ht="12.75" customHeight="1">
      <c r="I161" s="1"/>
    </row>
    <row r="162" ht="12.75" customHeight="1">
      <c r="I162" s="1"/>
    </row>
    <row r="163" ht="12.75" customHeight="1">
      <c r="I163" s="1"/>
    </row>
    <row r="164" ht="12.75" customHeight="1">
      <c r="I164" s="1"/>
    </row>
    <row r="165" ht="12.75" customHeight="1">
      <c r="I165" s="1"/>
    </row>
    <row r="166" ht="12.75" customHeight="1">
      <c r="I166" s="1"/>
    </row>
    <row r="167" ht="12.75" customHeight="1">
      <c r="I167" s="1"/>
    </row>
    <row r="168" ht="12.75" customHeight="1">
      <c r="I168" s="1"/>
    </row>
    <row r="169" ht="12.75" customHeight="1">
      <c r="I169" s="1"/>
    </row>
    <row r="170" ht="12.75" customHeight="1">
      <c r="I170" s="1"/>
    </row>
    <row r="171" ht="12.75" customHeight="1">
      <c r="I171" s="1"/>
    </row>
    <row r="172" ht="12.75" customHeight="1">
      <c r="I172" s="1"/>
    </row>
    <row r="173" ht="12.75" customHeight="1">
      <c r="I173" s="1"/>
    </row>
    <row r="174" ht="12.75" customHeight="1">
      <c r="I174" s="1"/>
    </row>
    <row r="175" ht="12.75" customHeight="1">
      <c r="I175" s="1"/>
    </row>
    <row r="176" ht="12.75" customHeight="1">
      <c r="I176" s="1"/>
    </row>
    <row r="177" ht="12.75" customHeight="1">
      <c r="I177" s="1"/>
    </row>
    <row r="178" ht="12.75" customHeight="1">
      <c r="I178" s="1"/>
    </row>
    <row r="179" ht="12.75" customHeight="1">
      <c r="I179" s="1"/>
    </row>
    <row r="180" ht="12.75" customHeight="1">
      <c r="I180" s="1"/>
    </row>
    <row r="181" ht="12.75" customHeight="1">
      <c r="I181" s="1"/>
    </row>
    <row r="182" ht="12.75" customHeight="1">
      <c r="I182" s="1"/>
    </row>
    <row r="183" ht="12.75" customHeight="1">
      <c r="I183" s="1"/>
    </row>
    <row r="184" ht="12.75" customHeight="1">
      <c r="I184" s="1"/>
    </row>
    <row r="185" ht="12.75" customHeight="1">
      <c r="I185" s="1"/>
    </row>
    <row r="186" ht="12.75" customHeight="1">
      <c r="I186" s="1"/>
    </row>
    <row r="187" ht="12.75" customHeight="1">
      <c r="I187" s="1"/>
    </row>
    <row r="188" ht="12.75" customHeight="1">
      <c r="I188" s="1"/>
    </row>
    <row r="189" ht="12.75" customHeight="1">
      <c r="I189" s="1"/>
    </row>
    <row r="190" ht="12.75" customHeight="1">
      <c r="I190" s="1"/>
    </row>
    <row r="191" ht="12.75" customHeight="1">
      <c r="I191" s="1"/>
    </row>
    <row r="192" ht="12.75" customHeight="1">
      <c r="I192" s="1"/>
    </row>
    <row r="193" ht="12.75" customHeight="1">
      <c r="I193" s="1"/>
    </row>
    <row r="194" ht="12.75" customHeight="1">
      <c r="I194" s="1"/>
    </row>
    <row r="195" ht="12.75" customHeight="1">
      <c r="I195" s="1"/>
    </row>
    <row r="196" ht="12.75" customHeight="1">
      <c r="I196" s="1"/>
    </row>
    <row r="197" ht="12.75" customHeight="1">
      <c r="I197" s="1"/>
    </row>
    <row r="198" ht="12.75" customHeight="1">
      <c r="I198" s="1"/>
    </row>
    <row r="199" ht="12.75" customHeight="1">
      <c r="I199" s="1"/>
    </row>
    <row r="200" ht="12.75" customHeight="1">
      <c r="I200" s="1"/>
    </row>
    <row r="201" ht="12.75" customHeight="1">
      <c r="I201" s="1"/>
    </row>
    <row r="202" ht="12.75" customHeight="1">
      <c r="I202" s="1"/>
    </row>
    <row r="203" ht="12.75" customHeight="1">
      <c r="I203" s="1"/>
    </row>
    <row r="204" ht="12.75" customHeight="1">
      <c r="I204" s="1"/>
    </row>
    <row r="205" ht="12.75" customHeight="1">
      <c r="I205" s="1"/>
    </row>
    <row r="206" ht="12.75" customHeight="1">
      <c r="I206" s="1"/>
    </row>
    <row r="207" ht="12.75" customHeight="1">
      <c r="I207" s="1"/>
    </row>
    <row r="208" ht="12.75" customHeight="1">
      <c r="I208" s="1"/>
    </row>
    <row r="209" ht="12.75" customHeight="1">
      <c r="I209" s="1"/>
    </row>
    <row r="210" ht="12.75" customHeight="1">
      <c r="I210" s="1"/>
    </row>
    <row r="211" ht="12.75" customHeight="1">
      <c r="I211" s="1"/>
    </row>
    <row r="212" ht="12.75" customHeight="1">
      <c r="I212" s="1"/>
    </row>
    <row r="213" ht="12.75" customHeight="1">
      <c r="I213" s="1"/>
    </row>
    <row r="214" ht="12.75" customHeight="1">
      <c r="I214" s="1"/>
    </row>
    <row r="215" ht="12.75" customHeight="1">
      <c r="I215" s="1"/>
    </row>
    <row r="216" ht="12.75" customHeight="1">
      <c r="I216" s="1"/>
    </row>
    <row r="217" ht="12.75" customHeight="1">
      <c r="I217" s="1"/>
    </row>
    <row r="218" ht="12.75" customHeight="1">
      <c r="I218" s="1"/>
    </row>
    <row r="219" ht="12.75" customHeight="1">
      <c r="I219" s="1"/>
    </row>
    <row r="220" ht="12.75" customHeight="1">
      <c r="I220" s="1"/>
    </row>
    <row r="221" ht="12.75" customHeight="1">
      <c r="I221" s="1"/>
    </row>
    <row r="222" ht="12.75" customHeight="1">
      <c r="I222" s="1"/>
    </row>
    <row r="223" ht="12.75" customHeight="1">
      <c r="I223" s="1"/>
    </row>
    <row r="224" ht="12.75" customHeight="1">
      <c r="I224" s="1"/>
    </row>
    <row r="225" ht="12.75" customHeight="1">
      <c r="I225" s="1"/>
    </row>
    <row r="226" ht="12.75" customHeight="1">
      <c r="I226" s="1"/>
    </row>
    <row r="227" ht="12.75" customHeight="1">
      <c r="I227" s="1"/>
    </row>
    <row r="228" ht="12.75" customHeight="1">
      <c r="I228" s="1"/>
    </row>
    <row r="229" ht="12.75" customHeight="1">
      <c r="I229" s="1"/>
    </row>
    <row r="230" ht="12.75" customHeight="1">
      <c r="I230" s="1"/>
    </row>
    <row r="231" ht="12.75" customHeight="1">
      <c r="I231" s="1"/>
    </row>
    <row r="232" ht="12.75" customHeight="1">
      <c r="I232" s="1"/>
    </row>
    <row r="233" ht="12.75" customHeight="1">
      <c r="I233" s="1"/>
    </row>
    <row r="234" ht="12.75" customHeight="1">
      <c r="I234" s="1"/>
    </row>
    <row r="235" ht="12.75" customHeight="1">
      <c r="I235" s="1"/>
    </row>
    <row r="236" ht="12.75" customHeight="1">
      <c r="I236" s="1"/>
    </row>
    <row r="237" ht="12.75" customHeight="1">
      <c r="I237" s="1"/>
    </row>
    <row r="238" ht="12.75" customHeight="1">
      <c r="I238" s="1"/>
    </row>
    <row r="239" ht="12.75" customHeight="1">
      <c r="I239" s="1"/>
    </row>
    <row r="240" ht="12.75" customHeight="1">
      <c r="I240" s="1"/>
    </row>
    <row r="241" ht="12.75" customHeight="1">
      <c r="I241" s="1"/>
    </row>
    <row r="242" ht="12.75" customHeight="1">
      <c r="I242" s="1"/>
    </row>
    <row r="243" ht="12.75" customHeight="1">
      <c r="I243" s="1"/>
    </row>
    <row r="244" ht="12.75" customHeight="1">
      <c r="I244" s="1"/>
    </row>
    <row r="245" ht="12.75" customHeight="1">
      <c r="I245" s="1"/>
    </row>
    <row r="246" ht="12.75" customHeight="1">
      <c r="I246" s="1"/>
    </row>
    <row r="247" ht="12.75" customHeight="1">
      <c r="I247" s="1"/>
    </row>
    <row r="248" ht="12.75" customHeight="1">
      <c r="I248" s="1"/>
    </row>
    <row r="249" ht="12.75" customHeight="1">
      <c r="I249" s="1"/>
    </row>
    <row r="250" ht="12.75" customHeight="1">
      <c r="I250" s="1"/>
    </row>
    <row r="251" ht="12.75" customHeight="1">
      <c r="I251" s="1"/>
    </row>
    <row r="252" ht="12.75" customHeight="1">
      <c r="I252" s="1"/>
    </row>
    <row r="253" ht="12.75" customHeight="1">
      <c r="I253" s="1"/>
    </row>
    <row r="254" ht="12.75" customHeight="1">
      <c r="I254" s="1"/>
    </row>
    <row r="255" ht="12.75" customHeight="1">
      <c r="I255" s="1"/>
    </row>
    <row r="256" ht="12.75" customHeight="1">
      <c r="I256" s="1"/>
    </row>
    <row r="257" ht="12.75" customHeight="1">
      <c r="I257" s="1"/>
    </row>
    <row r="258" ht="12.75" customHeight="1">
      <c r="I258" s="1"/>
    </row>
    <row r="259" ht="12.75" customHeight="1">
      <c r="I259" s="1"/>
    </row>
    <row r="260" ht="12.75" customHeight="1">
      <c r="I260" s="1"/>
    </row>
    <row r="261" ht="12.75" customHeight="1">
      <c r="I261" s="1"/>
    </row>
    <row r="262" ht="12.75" customHeight="1">
      <c r="I262" s="1"/>
    </row>
    <row r="263" ht="12.75" customHeight="1">
      <c r="I263" s="1"/>
    </row>
    <row r="264" ht="12.75" customHeight="1">
      <c r="I264" s="1"/>
    </row>
    <row r="265" ht="12.75" customHeight="1">
      <c r="I265" s="1"/>
    </row>
    <row r="266" ht="12.75" customHeight="1">
      <c r="I266" s="1"/>
    </row>
    <row r="267" ht="12.75" customHeight="1">
      <c r="I267" s="1"/>
    </row>
    <row r="268" ht="12.75" customHeight="1">
      <c r="I268" s="1"/>
    </row>
    <row r="269" ht="12.75" customHeight="1">
      <c r="I269" s="1"/>
    </row>
    <row r="270" ht="12.75" customHeight="1">
      <c r="I270" s="1"/>
    </row>
    <row r="271" ht="12.75" customHeight="1">
      <c r="I271" s="1"/>
    </row>
    <row r="272" ht="12.75" customHeight="1">
      <c r="I272" s="1"/>
    </row>
    <row r="273" ht="12.75" customHeight="1">
      <c r="I273" s="1"/>
    </row>
    <row r="274" ht="12.75" customHeight="1">
      <c r="I274" s="1"/>
    </row>
    <row r="275" ht="12.75" customHeight="1">
      <c r="I275" s="1"/>
    </row>
    <row r="276" ht="12.75" customHeight="1">
      <c r="I276" s="1"/>
    </row>
    <row r="277" ht="12.75" customHeight="1">
      <c r="I277" s="1"/>
    </row>
    <row r="278" ht="12.75" customHeight="1">
      <c r="I278" s="1"/>
    </row>
    <row r="279" ht="12.75" customHeight="1">
      <c r="I279" s="1"/>
    </row>
    <row r="280" ht="12.75" customHeight="1">
      <c r="I280" s="1"/>
    </row>
    <row r="281" ht="12.75" customHeight="1">
      <c r="I281" s="1"/>
    </row>
    <row r="282" ht="12.75" customHeight="1">
      <c r="I282" s="1"/>
    </row>
    <row r="283" ht="12.75" customHeight="1">
      <c r="I283" s="1"/>
    </row>
    <row r="284" ht="12.75" customHeight="1">
      <c r="I284" s="1"/>
    </row>
    <row r="285" ht="12.75" customHeight="1">
      <c r="I285" s="1"/>
    </row>
    <row r="286" ht="12.75" customHeight="1">
      <c r="I286" s="1"/>
    </row>
    <row r="287" ht="12.75" customHeight="1">
      <c r="I287" s="1"/>
    </row>
    <row r="288" ht="12.75" customHeight="1">
      <c r="I288" s="1"/>
    </row>
    <row r="289" ht="12.75" customHeight="1">
      <c r="I289" s="1"/>
    </row>
    <row r="290" ht="12.75" customHeight="1">
      <c r="I290" s="1"/>
    </row>
    <row r="291" ht="12.75" customHeight="1">
      <c r="I291" s="1"/>
    </row>
    <row r="292" ht="12.75" customHeight="1">
      <c r="I292" s="1"/>
    </row>
    <row r="293" ht="12.75" customHeight="1">
      <c r="I293" s="1"/>
    </row>
    <row r="294" ht="12.75" customHeight="1">
      <c r="I294" s="1"/>
    </row>
    <row r="295" ht="12.75" customHeight="1">
      <c r="I295" s="1"/>
    </row>
    <row r="296" ht="12.75" customHeight="1">
      <c r="I296" s="1"/>
    </row>
    <row r="297" ht="12.75" customHeight="1">
      <c r="I297" s="1"/>
    </row>
    <row r="298" ht="12.75" customHeight="1">
      <c r="I298" s="1"/>
    </row>
    <row r="299" ht="12.75" customHeight="1">
      <c r="I299" s="1"/>
    </row>
    <row r="300" ht="12.75" customHeight="1">
      <c r="I300" s="1"/>
    </row>
    <row r="301" ht="12.75" customHeight="1">
      <c r="I301" s="1"/>
    </row>
    <row r="302" ht="12.75" customHeight="1">
      <c r="I302" s="1"/>
    </row>
    <row r="303" ht="12.75" customHeight="1">
      <c r="I303" s="1"/>
    </row>
    <row r="304" ht="12.75" customHeight="1">
      <c r="I304" s="1"/>
    </row>
    <row r="305" ht="12.75" customHeight="1">
      <c r="I305" s="1"/>
    </row>
    <row r="306" ht="12.75" customHeight="1">
      <c r="I306" s="1"/>
    </row>
    <row r="307" ht="12.75" customHeight="1">
      <c r="I307" s="1"/>
    </row>
    <row r="308" ht="12.75" customHeight="1">
      <c r="I308" s="1"/>
    </row>
    <row r="309" ht="12.75" customHeight="1">
      <c r="I309" s="1"/>
    </row>
    <row r="310" ht="12.75" customHeight="1">
      <c r="I310" s="1"/>
    </row>
    <row r="311" ht="12.75" customHeight="1">
      <c r="I311" s="1"/>
    </row>
    <row r="312" ht="12.75" customHeight="1">
      <c r="I312" s="1"/>
    </row>
    <row r="313" ht="12.75" customHeight="1">
      <c r="I313" s="1"/>
    </row>
    <row r="314" ht="12.75" customHeight="1">
      <c r="I314" s="1"/>
    </row>
    <row r="315" ht="12.75" customHeight="1">
      <c r="I315" s="1"/>
    </row>
    <row r="316" ht="12.75" customHeight="1">
      <c r="I316" s="1"/>
    </row>
    <row r="317" ht="12.75" customHeight="1">
      <c r="I317" s="1"/>
    </row>
    <row r="318" ht="12.75" customHeight="1">
      <c r="I318" s="1"/>
    </row>
    <row r="319" ht="12.75" customHeight="1">
      <c r="I319" s="1"/>
    </row>
    <row r="320" ht="12.75" customHeight="1">
      <c r="I320" s="1"/>
    </row>
    <row r="321" ht="12.75" customHeight="1">
      <c r="I321" s="1"/>
    </row>
    <row r="322" ht="12.75" customHeight="1">
      <c r="I322" s="1"/>
    </row>
    <row r="323" ht="12.75" customHeight="1">
      <c r="I323" s="1"/>
    </row>
    <row r="324" ht="12.75" customHeight="1">
      <c r="I324" s="1"/>
    </row>
    <row r="325" ht="12.75" customHeight="1">
      <c r="I325" s="1"/>
    </row>
    <row r="326" ht="12.75" customHeight="1">
      <c r="I326" s="1"/>
    </row>
    <row r="327" ht="12.75" customHeight="1">
      <c r="I327" s="1"/>
    </row>
    <row r="328" ht="12.75" customHeight="1">
      <c r="I328" s="1"/>
    </row>
    <row r="329" ht="12.75" customHeight="1">
      <c r="I329" s="1"/>
    </row>
    <row r="330" ht="12.75" customHeight="1">
      <c r="I330" s="1"/>
    </row>
    <row r="331" ht="12.75" customHeight="1">
      <c r="I331" s="1"/>
    </row>
    <row r="332" ht="12.75" customHeight="1">
      <c r="I332" s="1"/>
    </row>
    <row r="333" ht="12.75" customHeight="1">
      <c r="I333" s="1"/>
    </row>
    <row r="334" ht="12.75" customHeight="1">
      <c r="I334" s="1"/>
    </row>
    <row r="335" ht="12.75" customHeight="1">
      <c r="I335" s="1"/>
    </row>
    <row r="336" ht="12.75" customHeight="1">
      <c r="I336" s="1"/>
    </row>
    <row r="337" ht="12.75" customHeight="1">
      <c r="I337" s="1"/>
    </row>
    <row r="338" ht="12.75" customHeight="1">
      <c r="I338" s="1"/>
    </row>
    <row r="339" ht="12.75" customHeight="1">
      <c r="I339" s="1"/>
    </row>
    <row r="340" ht="12.75" customHeight="1">
      <c r="I340" s="1"/>
    </row>
    <row r="341" ht="12.75" customHeight="1">
      <c r="I341" s="1"/>
    </row>
    <row r="342" ht="12.75" customHeight="1">
      <c r="I342" s="1"/>
    </row>
    <row r="343" ht="12.75" customHeight="1">
      <c r="I343" s="1"/>
    </row>
    <row r="344" ht="12.75" customHeight="1">
      <c r="I344" s="1"/>
    </row>
    <row r="345" ht="12.75" customHeight="1">
      <c r="I345" s="1"/>
    </row>
    <row r="346" ht="12.75" customHeight="1">
      <c r="I346" s="1"/>
    </row>
    <row r="347" ht="12.75" customHeight="1">
      <c r="I347" s="1"/>
    </row>
    <row r="348" ht="12.75" customHeight="1">
      <c r="I348" s="1"/>
    </row>
    <row r="349" ht="12.75" customHeight="1">
      <c r="I349" s="1"/>
    </row>
    <row r="350" ht="12.75" customHeight="1">
      <c r="I350" s="1"/>
    </row>
    <row r="351" ht="12.75" customHeight="1">
      <c r="I351" s="1"/>
    </row>
    <row r="352" ht="12.75" customHeight="1">
      <c r="I352" s="1"/>
    </row>
    <row r="353" ht="12.75" customHeight="1">
      <c r="I353" s="1"/>
    </row>
    <row r="354" ht="12.75" customHeight="1">
      <c r="I354" s="1"/>
    </row>
    <row r="355" ht="12.75" customHeight="1">
      <c r="I355" s="1"/>
    </row>
    <row r="356" ht="12.75" customHeight="1">
      <c r="I356" s="1"/>
    </row>
    <row r="357" ht="12.75" customHeight="1">
      <c r="I357" s="1"/>
    </row>
    <row r="358" ht="12.75" customHeight="1">
      <c r="I358" s="1"/>
    </row>
    <row r="359" ht="12.75" customHeight="1">
      <c r="I359" s="1"/>
    </row>
    <row r="360" ht="12.75" customHeight="1">
      <c r="I360" s="1"/>
    </row>
    <row r="361" ht="12.75" customHeight="1">
      <c r="I361" s="1"/>
    </row>
    <row r="362" ht="12.75" customHeight="1">
      <c r="I362" s="1"/>
    </row>
    <row r="363" ht="12.75" customHeight="1">
      <c r="I363" s="1"/>
    </row>
    <row r="364" ht="12.75" customHeight="1">
      <c r="I364" s="1"/>
    </row>
    <row r="365" ht="12.75" customHeight="1">
      <c r="I365" s="1"/>
    </row>
    <row r="366" ht="12.75" customHeight="1">
      <c r="I366" s="1"/>
    </row>
    <row r="367" ht="12.75" customHeight="1">
      <c r="I367" s="1"/>
    </row>
    <row r="368" ht="12.75" customHeight="1">
      <c r="I368" s="1"/>
    </row>
    <row r="369" ht="12.75" customHeight="1">
      <c r="I369" s="1"/>
    </row>
    <row r="370" ht="12.75" customHeight="1">
      <c r="I370" s="1"/>
    </row>
    <row r="371" ht="12.75" customHeight="1">
      <c r="I371" s="1"/>
    </row>
    <row r="372" ht="12.75" customHeight="1">
      <c r="I372" s="1"/>
    </row>
    <row r="373" ht="12.75" customHeight="1">
      <c r="I373" s="1"/>
    </row>
    <row r="374" ht="12.75" customHeight="1">
      <c r="I374" s="1"/>
    </row>
    <row r="375" ht="12.75" customHeight="1">
      <c r="I375" s="1"/>
    </row>
    <row r="376" ht="12.75" customHeight="1">
      <c r="I376" s="1"/>
    </row>
    <row r="377" ht="12.75" customHeight="1">
      <c r="I377" s="1"/>
    </row>
    <row r="378" ht="12.75" customHeight="1">
      <c r="I378" s="1"/>
    </row>
    <row r="379" ht="12.75" customHeight="1">
      <c r="I379" s="1"/>
    </row>
    <row r="380" ht="12.75" customHeight="1">
      <c r="I380" s="1"/>
    </row>
    <row r="381" ht="12.75" customHeight="1">
      <c r="I381" s="1"/>
    </row>
    <row r="382" ht="12.75" customHeight="1">
      <c r="I382" s="1"/>
    </row>
    <row r="383" ht="12.75" customHeight="1">
      <c r="I383" s="1"/>
    </row>
    <row r="384" ht="12.75" customHeight="1">
      <c r="I384" s="1"/>
    </row>
    <row r="385" ht="12.75" customHeight="1">
      <c r="I385" s="1"/>
    </row>
    <row r="386" ht="12.75" customHeight="1">
      <c r="I386" s="1"/>
    </row>
    <row r="387" ht="12.75" customHeight="1">
      <c r="I387" s="1"/>
    </row>
    <row r="388" ht="12.75" customHeight="1">
      <c r="I388" s="1"/>
    </row>
    <row r="389" ht="12.75" customHeight="1">
      <c r="I389" s="1"/>
    </row>
    <row r="390" ht="12.75" customHeight="1">
      <c r="I390" s="1"/>
    </row>
    <row r="391" ht="12.75" customHeight="1">
      <c r="I391" s="1"/>
    </row>
    <row r="392" ht="12.75" customHeight="1">
      <c r="I392" s="1"/>
    </row>
    <row r="393" ht="12.75" customHeight="1">
      <c r="I393" s="1"/>
    </row>
    <row r="394" ht="12.75" customHeight="1">
      <c r="I394" s="1"/>
    </row>
    <row r="395" ht="12.75" customHeight="1">
      <c r="I395" s="1"/>
    </row>
    <row r="396" ht="12.75" customHeight="1">
      <c r="I396" s="1"/>
    </row>
    <row r="397" ht="12.75" customHeight="1">
      <c r="I397" s="1"/>
    </row>
    <row r="398" ht="12.75" customHeight="1">
      <c r="I398" s="1"/>
    </row>
    <row r="399" ht="12.75" customHeight="1">
      <c r="I399" s="1"/>
    </row>
    <row r="400" ht="12.75" customHeight="1">
      <c r="I400" s="1"/>
    </row>
    <row r="401" ht="12.75" customHeight="1">
      <c r="I401" s="1"/>
    </row>
    <row r="402" ht="12.75" customHeight="1">
      <c r="I402" s="1"/>
    </row>
    <row r="403" ht="12.75" customHeight="1">
      <c r="I403" s="1"/>
    </row>
    <row r="404" ht="12.75" customHeight="1">
      <c r="I404" s="1"/>
    </row>
    <row r="405" ht="12.75" customHeight="1">
      <c r="I405" s="1"/>
    </row>
    <row r="406" ht="12.75" customHeight="1">
      <c r="I406" s="1"/>
    </row>
    <row r="407" ht="12.75" customHeight="1">
      <c r="I407" s="1"/>
    </row>
    <row r="408" ht="12.75" customHeight="1">
      <c r="I408" s="1"/>
    </row>
    <row r="409" ht="12.75" customHeight="1">
      <c r="I409" s="1"/>
    </row>
    <row r="410" ht="12.75" customHeight="1">
      <c r="I410" s="1"/>
    </row>
    <row r="411" ht="12.75" customHeight="1">
      <c r="I411" s="1"/>
    </row>
    <row r="412" ht="12.75" customHeight="1">
      <c r="I412" s="1"/>
    </row>
    <row r="413" ht="12.75" customHeight="1">
      <c r="I413" s="1"/>
    </row>
    <row r="414" ht="12.75" customHeight="1">
      <c r="I414" s="1"/>
    </row>
    <row r="415" ht="12.75" customHeight="1">
      <c r="I415" s="1"/>
    </row>
    <row r="416" ht="12.75" customHeight="1">
      <c r="I416" s="1"/>
    </row>
    <row r="417" ht="12.75" customHeight="1">
      <c r="I417" s="1"/>
    </row>
    <row r="418" ht="12.75" customHeight="1">
      <c r="I418" s="1"/>
    </row>
    <row r="419" ht="12.75" customHeight="1">
      <c r="I419" s="1"/>
    </row>
    <row r="420" ht="12.75" customHeight="1">
      <c r="I420" s="1"/>
    </row>
    <row r="421" ht="12.75" customHeight="1">
      <c r="I421" s="1"/>
    </row>
    <row r="422" ht="12.75" customHeight="1">
      <c r="I422" s="1"/>
    </row>
    <row r="423" ht="12.75" customHeight="1">
      <c r="I423" s="1"/>
    </row>
    <row r="424" ht="12.75" customHeight="1">
      <c r="I424" s="1"/>
    </row>
    <row r="425" ht="12.75" customHeight="1">
      <c r="I425" s="1"/>
    </row>
    <row r="426" ht="12.75" customHeight="1">
      <c r="I426" s="1"/>
    </row>
    <row r="427" ht="12.75" customHeight="1">
      <c r="I427" s="1"/>
    </row>
    <row r="428" ht="12.75" customHeight="1">
      <c r="I428" s="1"/>
    </row>
    <row r="429" ht="12.75" customHeight="1">
      <c r="I429" s="1"/>
    </row>
    <row r="430" ht="12.75" customHeight="1">
      <c r="I430" s="1"/>
    </row>
    <row r="431" ht="12.75" customHeight="1">
      <c r="I431" s="1"/>
    </row>
    <row r="432" ht="12.75" customHeight="1">
      <c r="I432" s="1"/>
    </row>
    <row r="433" ht="12.75" customHeight="1">
      <c r="I433" s="1"/>
    </row>
    <row r="434" ht="12.75" customHeight="1">
      <c r="I434" s="1"/>
    </row>
    <row r="435" ht="12.75" customHeight="1">
      <c r="I435" s="1"/>
    </row>
    <row r="436" ht="12.75" customHeight="1">
      <c r="I436" s="1"/>
    </row>
    <row r="437" ht="12.75" customHeight="1">
      <c r="I437" s="1"/>
    </row>
    <row r="438" ht="12.75" customHeight="1">
      <c r="I438" s="1"/>
    </row>
    <row r="439" ht="12.75" customHeight="1">
      <c r="I439" s="1"/>
    </row>
    <row r="440" ht="12.75" customHeight="1">
      <c r="I440" s="1"/>
    </row>
    <row r="441" ht="12.75" customHeight="1">
      <c r="I441" s="1"/>
    </row>
    <row r="442" ht="12.75" customHeight="1">
      <c r="I442" s="1"/>
    </row>
    <row r="443" ht="12.75" customHeight="1">
      <c r="I443" s="1"/>
    </row>
    <row r="444" ht="12.75" customHeight="1">
      <c r="I444" s="1"/>
    </row>
    <row r="445" ht="12.75" customHeight="1">
      <c r="I445" s="1"/>
    </row>
    <row r="446" ht="12.75" customHeight="1">
      <c r="I446" s="1"/>
    </row>
    <row r="447" ht="12.75" customHeight="1">
      <c r="I447" s="1"/>
    </row>
    <row r="448" ht="12.75" customHeight="1">
      <c r="I448" s="1"/>
    </row>
    <row r="449" ht="12.75" customHeight="1">
      <c r="I449" s="1"/>
    </row>
    <row r="450" ht="12.75" customHeight="1">
      <c r="I450" s="1"/>
    </row>
    <row r="451" ht="12.75" customHeight="1">
      <c r="I451" s="1"/>
    </row>
    <row r="452" ht="12.75" customHeight="1">
      <c r="I452" s="1"/>
    </row>
    <row r="453" ht="12.75" customHeight="1">
      <c r="I453" s="1"/>
    </row>
    <row r="454" ht="12.75" customHeight="1">
      <c r="I454" s="1"/>
    </row>
    <row r="455" ht="12.75" customHeight="1">
      <c r="I455" s="1"/>
    </row>
    <row r="456" ht="12.75" customHeight="1">
      <c r="I456" s="1"/>
    </row>
    <row r="457" ht="12.75" customHeight="1">
      <c r="I457" s="1"/>
    </row>
    <row r="458" ht="12.75" customHeight="1">
      <c r="I458" s="1"/>
    </row>
    <row r="459" ht="12.75" customHeight="1">
      <c r="I459" s="1"/>
    </row>
    <row r="460" ht="12.75" customHeight="1">
      <c r="I460" s="1"/>
    </row>
    <row r="461" ht="12.75" customHeight="1">
      <c r="I461" s="1"/>
    </row>
    <row r="462" ht="12.75" customHeight="1">
      <c r="I462" s="1"/>
    </row>
    <row r="463" ht="12.75" customHeight="1">
      <c r="I463" s="1"/>
    </row>
    <row r="464" ht="12.75" customHeight="1">
      <c r="I464" s="1"/>
    </row>
    <row r="465" ht="12.75" customHeight="1">
      <c r="I465" s="1"/>
    </row>
    <row r="466" ht="12.75" customHeight="1">
      <c r="I466" s="1"/>
    </row>
    <row r="467" ht="12.75" customHeight="1">
      <c r="I467" s="1"/>
    </row>
    <row r="468" ht="12.75" customHeight="1">
      <c r="I468" s="1"/>
    </row>
    <row r="469" ht="12.75" customHeight="1">
      <c r="I469" s="1"/>
    </row>
    <row r="470" ht="12.75" customHeight="1">
      <c r="I470" s="1"/>
    </row>
    <row r="471" ht="12.75" customHeight="1">
      <c r="I471" s="1"/>
    </row>
    <row r="472" ht="12.75" customHeight="1">
      <c r="I472" s="1"/>
    </row>
    <row r="473" ht="12.75" customHeight="1">
      <c r="I473" s="1"/>
    </row>
    <row r="474" ht="12.75" customHeight="1">
      <c r="I474" s="1"/>
    </row>
    <row r="475" ht="12.75" customHeight="1">
      <c r="I475" s="1"/>
    </row>
    <row r="476" ht="12.75" customHeight="1">
      <c r="I476" s="1"/>
    </row>
    <row r="477" ht="12.75" customHeight="1">
      <c r="I477" s="1"/>
    </row>
    <row r="478" ht="12.75" customHeight="1">
      <c r="I478" s="1"/>
    </row>
    <row r="479" ht="12.75" customHeight="1">
      <c r="I479" s="1"/>
    </row>
    <row r="480" ht="12.75" customHeight="1">
      <c r="I480" s="1"/>
    </row>
    <row r="481" ht="12.75" customHeight="1">
      <c r="I481" s="1"/>
    </row>
    <row r="482" ht="12.75" customHeight="1">
      <c r="I482" s="1"/>
    </row>
    <row r="483" ht="12.75" customHeight="1">
      <c r="I483" s="1"/>
    </row>
    <row r="484" ht="12.75" customHeight="1">
      <c r="I484" s="1"/>
    </row>
    <row r="485" ht="12.75" customHeight="1">
      <c r="I485" s="1"/>
    </row>
    <row r="486" ht="12.75" customHeight="1">
      <c r="I486" s="1"/>
    </row>
    <row r="487" ht="12.75" customHeight="1">
      <c r="I487" s="1"/>
    </row>
    <row r="488" ht="12.75" customHeight="1">
      <c r="I488" s="1"/>
    </row>
    <row r="489" ht="12.75" customHeight="1">
      <c r="I489" s="1"/>
    </row>
    <row r="490" ht="12.75" customHeight="1">
      <c r="I490" s="1"/>
    </row>
    <row r="491" ht="12.75" customHeight="1">
      <c r="I491" s="1"/>
    </row>
    <row r="492" ht="12.75" customHeight="1">
      <c r="I492" s="1"/>
    </row>
    <row r="493" ht="12.75" customHeight="1">
      <c r="I493" s="1"/>
    </row>
    <row r="494" ht="12.75" customHeight="1">
      <c r="I494" s="1"/>
    </row>
    <row r="495" ht="12.75" customHeight="1">
      <c r="I495" s="1"/>
    </row>
    <row r="496" ht="12.75" customHeight="1">
      <c r="I496" s="1"/>
    </row>
    <row r="497" ht="12.75" customHeight="1">
      <c r="I497" s="1"/>
    </row>
    <row r="498" ht="12.75" customHeight="1">
      <c r="I498" s="1"/>
    </row>
    <row r="499" ht="12.75" customHeight="1">
      <c r="I499" s="1"/>
    </row>
    <row r="500" ht="12.75" customHeight="1">
      <c r="I500" s="1"/>
    </row>
    <row r="501" ht="12.75" customHeight="1">
      <c r="I501" s="1"/>
    </row>
    <row r="502" ht="12.75" customHeight="1">
      <c r="I502" s="1"/>
    </row>
    <row r="503" ht="12.75" customHeight="1">
      <c r="I503" s="1"/>
    </row>
    <row r="504" ht="12.75" customHeight="1">
      <c r="I504" s="1"/>
    </row>
    <row r="505" ht="12.75" customHeight="1">
      <c r="I505" s="1"/>
    </row>
    <row r="506" ht="12.75" customHeight="1">
      <c r="I506" s="1"/>
    </row>
    <row r="507" ht="12.75" customHeight="1">
      <c r="I507" s="1"/>
    </row>
    <row r="508" ht="12.75" customHeight="1">
      <c r="I508" s="1"/>
    </row>
    <row r="509" ht="12.75" customHeight="1">
      <c r="I509" s="1"/>
    </row>
    <row r="510" ht="12.75" customHeight="1">
      <c r="I510" s="1"/>
    </row>
    <row r="511" ht="12.75" customHeight="1">
      <c r="I511" s="1"/>
    </row>
    <row r="512" ht="12.75" customHeight="1">
      <c r="I512" s="1"/>
    </row>
    <row r="513" ht="12.75" customHeight="1">
      <c r="I513" s="1"/>
    </row>
    <row r="514" ht="12.75" customHeight="1">
      <c r="I514" s="1"/>
    </row>
    <row r="515" ht="12.75" customHeight="1">
      <c r="I515" s="1"/>
    </row>
    <row r="516" ht="12.75" customHeight="1">
      <c r="I516" s="1"/>
    </row>
    <row r="517" ht="12.75" customHeight="1">
      <c r="I517" s="1"/>
    </row>
    <row r="518" ht="12.75" customHeight="1">
      <c r="I518" s="1"/>
    </row>
    <row r="519" ht="12.75" customHeight="1">
      <c r="I519" s="1"/>
    </row>
    <row r="520" ht="12.75" customHeight="1">
      <c r="I520" s="1"/>
    </row>
    <row r="521" ht="12.75" customHeight="1">
      <c r="I521" s="1"/>
    </row>
    <row r="522" ht="12.75" customHeight="1">
      <c r="I522" s="1"/>
    </row>
    <row r="523" ht="12.75" customHeight="1">
      <c r="I523" s="1"/>
    </row>
    <row r="524" ht="12.75" customHeight="1">
      <c r="I524" s="1"/>
    </row>
    <row r="525" ht="12.75" customHeight="1">
      <c r="I525" s="1"/>
    </row>
    <row r="526" ht="12.75" customHeight="1">
      <c r="I526" s="1"/>
    </row>
    <row r="527" ht="12.75" customHeight="1">
      <c r="I527" s="1"/>
    </row>
    <row r="528" ht="12.75" customHeight="1">
      <c r="I528" s="1"/>
    </row>
    <row r="529" ht="12.75" customHeight="1">
      <c r="I529" s="1"/>
    </row>
    <row r="530" ht="12.75" customHeight="1">
      <c r="I530" s="1"/>
    </row>
    <row r="531" ht="12.75" customHeight="1">
      <c r="I531" s="1"/>
    </row>
    <row r="532" ht="12.75" customHeight="1">
      <c r="I532" s="1"/>
    </row>
    <row r="533" ht="12.75" customHeight="1">
      <c r="I533" s="1"/>
    </row>
    <row r="534" ht="12.75" customHeight="1">
      <c r="I534" s="1"/>
    </row>
    <row r="535" ht="12.75" customHeight="1">
      <c r="I535" s="1"/>
    </row>
    <row r="536" ht="12.75" customHeight="1">
      <c r="I536" s="1"/>
    </row>
    <row r="537" ht="12.75" customHeight="1">
      <c r="I537" s="1"/>
    </row>
    <row r="538" ht="12.75" customHeight="1">
      <c r="I538" s="1"/>
    </row>
    <row r="539" ht="12.75" customHeight="1">
      <c r="I539" s="1"/>
    </row>
    <row r="540" ht="12.75" customHeight="1">
      <c r="I540" s="1"/>
    </row>
    <row r="541" ht="12.75" customHeight="1">
      <c r="I541" s="1"/>
    </row>
    <row r="542" ht="12.75" customHeight="1">
      <c r="I542" s="1"/>
    </row>
    <row r="543" ht="12.75" customHeight="1">
      <c r="I543" s="1"/>
    </row>
    <row r="544" ht="12.75" customHeight="1">
      <c r="I544" s="1"/>
    </row>
    <row r="545" ht="12.75" customHeight="1">
      <c r="I545" s="1"/>
    </row>
    <row r="546" ht="12.75" customHeight="1">
      <c r="I546" s="1"/>
    </row>
    <row r="547" ht="12.75" customHeight="1">
      <c r="I547" s="1"/>
    </row>
    <row r="548" ht="12.75" customHeight="1">
      <c r="I548" s="1"/>
    </row>
    <row r="549" ht="12.75" customHeight="1">
      <c r="I549" s="1"/>
    </row>
    <row r="550" ht="12.75" customHeight="1">
      <c r="I550" s="1"/>
    </row>
    <row r="551" ht="12.75" customHeight="1">
      <c r="I551" s="1"/>
    </row>
    <row r="552" ht="12.75" customHeight="1">
      <c r="I552" s="1"/>
    </row>
    <row r="553" ht="12.75" customHeight="1">
      <c r="I553" s="1"/>
    </row>
    <row r="554" ht="12.75" customHeight="1">
      <c r="I554" s="1"/>
    </row>
    <row r="555" ht="12.75" customHeight="1">
      <c r="I555" s="1"/>
    </row>
    <row r="556" ht="12.75" customHeight="1">
      <c r="I556" s="1"/>
    </row>
    <row r="557" ht="12.75" customHeight="1">
      <c r="I557" s="1"/>
    </row>
    <row r="558" ht="12.75" customHeight="1">
      <c r="I558" s="1"/>
    </row>
    <row r="559" ht="12.75" customHeight="1">
      <c r="I559" s="1"/>
    </row>
    <row r="560" ht="12.75" customHeight="1">
      <c r="I560" s="1"/>
    </row>
    <row r="561" ht="12.75" customHeight="1">
      <c r="I561" s="1"/>
    </row>
    <row r="562" ht="12.75" customHeight="1">
      <c r="I562" s="1"/>
    </row>
    <row r="563" ht="12.75" customHeight="1">
      <c r="I563" s="1"/>
    </row>
    <row r="564" ht="12.75" customHeight="1">
      <c r="I564" s="1"/>
    </row>
    <row r="565" ht="12.75" customHeight="1">
      <c r="I565" s="1"/>
    </row>
    <row r="566" ht="12.75" customHeight="1">
      <c r="I566" s="1"/>
    </row>
    <row r="567" ht="12.75" customHeight="1">
      <c r="I567" s="1"/>
    </row>
    <row r="568" ht="12.75" customHeight="1">
      <c r="I568" s="1"/>
    </row>
    <row r="569" ht="12.75" customHeight="1">
      <c r="I569" s="1"/>
    </row>
    <row r="570" ht="12.75" customHeight="1">
      <c r="I570" s="1"/>
    </row>
    <row r="571" ht="12.75" customHeight="1">
      <c r="I571" s="1"/>
    </row>
    <row r="572" ht="12.75" customHeight="1">
      <c r="I572" s="1"/>
    </row>
    <row r="573" ht="12.75" customHeight="1">
      <c r="I573" s="1"/>
    </row>
    <row r="574" ht="12.75" customHeight="1">
      <c r="I574" s="1"/>
    </row>
    <row r="575" ht="12.75" customHeight="1">
      <c r="I575" s="1"/>
    </row>
    <row r="576" ht="12.75" customHeight="1">
      <c r="I576" s="1"/>
    </row>
    <row r="577" ht="12.75" customHeight="1">
      <c r="I577" s="1"/>
    </row>
    <row r="578" ht="12.75" customHeight="1">
      <c r="I578" s="1"/>
    </row>
    <row r="579" ht="12.75" customHeight="1">
      <c r="I579" s="1"/>
    </row>
    <row r="580" ht="12.75" customHeight="1">
      <c r="I580" s="1"/>
    </row>
    <row r="581" ht="12.75" customHeight="1">
      <c r="I581" s="1"/>
    </row>
    <row r="582" ht="12.75" customHeight="1">
      <c r="I582" s="1"/>
    </row>
    <row r="583" ht="12.75" customHeight="1">
      <c r="I583" s="1"/>
    </row>
    <row r="584" ht="12.75" customHeight="1">
      <c r="I584" s="1"/>
    </row>
    <row r="585" ht="12.75" customHeight="1">
      <c r="I585" s="1"/>
    </row>
    <row r="586" ht="12.75" customHeight="1">
      <c r="I586" s="1"/>
    </row>
    <row r="587" ht="12.75" customHeight="1">
      <c r="I587" s="1"/>
    </row>
    <row r="588" ht="12.75" customHeight="1">
      <c r="I588" s="1"/>
    </row>
    <row r="589" ht="12.75" customHeight="1">
      <c r="I589" s="1"/>
    </row>
    <row r="590" ht="12.75" customHeight="1">
      <c r="I590" s="1"/>
    </row>
    <row r="591" ht="12.75" customHeight="1">
      <c r="I591" s="1"/>
    </row>
    <row r="592" ht="12.75" customHeight="1">
      <c r="I592" s="1"/>
    </row>
    <row r="593" ht="12.75" customHeight="1">
      <c r="I593" s="1"/>
    </row>
    <row r="594" ht="12.75" customHeight="1">
      <c r="I594" s="1"/>
    </row>
    <row r="595" ht="12.75" customHeight="1">
      <c r="I595" s="1"/>
    </row>
    <row r="596" ht="12.75" customHeight="1">
      <c r="I596" s="1"/>
    </row>
    <row r="597" ht="12.75" customHeight="1">
      <c r="I597" s="1"/>
    </row>
    <row r="598" ht="12.75" customHeight="1">
      <c r="I598" s="1"/>
    </row>
    <row r="599" ht="12.75" customHeight="1">
      <c r="I599" s="1"/>
    </row>
    <row r="600" ht="12.75" customHeight="1">
      <c r="I600" s="1"/>
    </row>
    <row r="601" ht="12.75" customHeight="1">
      <c r="I601" s="1"/>
    </row>
    <row r="602" ht="12.75" customHeight="1">
      <c r="I602" s="1"/>
    </row>
    <row r="603" ht="12.75" customHeight="1">
      <c r="I603" s="1"/>
    </row>
    <row r="604" ht="12.75" customHeight="1">
      <c r="I604" s="1"/>
    </row>
    <row r="605" ht="12.75" customHeight="1">
      <c r="I605" s="1"/>
    </row>
    <row r="606" ht="12.75" customHeight="1">
      <c r="I606" s="1"/>
    </row>
    <row r="607" ht="12.75" customHeight="1">
      <c r="I607" s="1"/>
    </row>
    <row r="608" ht="12.75" customHeight="1">
      <c r="I608" s="1"/>
    </row>
    <row r="609" ht="12.75" customHeight="1">
      <c r="I609" s="1"/>
    </row>
    <row r="610" ht="12.75" customHeight="1">
      <c r="I610" s="1"/>
    </row>
    <row r="611" ht="12.75" customHeight="1">
      <c r="I611" s="1"/>
    </row>
    <row r="612" ht="12.75" customHeight="1">
      <c r="I612" s="1"/>
    </row>
    <row r="613" ht="12.75" customHeight="1">
      <c r="I613" s="1"/>
    </row>
    <row r="614" ht="12.75" customHeight="1">
      <c r="I614" s="1"/>
    </row>
    <row r="615" ht="12.75" customHeight="1">
      <c r="I615" s="1"/>
    </row>
    <row r="616" ht="12.75" customHeight="1">
      <c r="I616" s="1"/>
    </row>
    <row r="617" ht="12.75" customHeight="1">
      <c r="I617" s="1"/>
    </row>
    <row r="618" ht="12.75" customHeight="1">
      <c r="I618" s="1"/>
    </row>
    <row r="619" ht="12.75" customHeight="1">
      <c r="I619" s="1"/>
    </row>
    <row r="620" ht="12.75" customHeight="1">
      <c r="I620" s="1"/>
    </row>
    <row r="621" ht="12.75" customHeight="1">
      <c r="I621" s="1"/>
    </row>
    <row r="622" ht="12.75" customHeight="1">
      <c r="I622" s="1"/>
    </row>
    <row r="623" ht="12.75" customHeight="1">
      <c r="I623" s="1"/>
    </row>
    <row r="624" ht="12.75" customHeight="1">
      <c r="I624" s="1"/>
    </row>
    <row r="625" ht="12.75" customHeight="1">
      <c r="I625" s="1"/>
    </row>
    <row r="626" ht="12.75" customHeight="1">
      <c r="I626" s="1"/>
    </row>
    <row r="627" ht="12.75" customHeight="1">
      <c r="I627" s="1"/>
    </row>
    <row r="628" ht="12.75" customHeight="1">
      <c r="I628" s="1"/>
    </row>
    <row r="629" ht="12.75" customHeight="1">
      <c r="I629" s="1"/>
    </row>
    <row r="630" ht="12.75" customHeight="1">
      <c r="I630" s="1"/>
    </row>
    <row r="631" ht="12.75" customHeight="1">
      <c r="I631" s="1"/>
    </row>
    <row r="632" ht="12.75" customHeight="1">
      <c r="I632" s="1"/>
    </row>
    <row r="633" ht="12.75" customHeight="1">
      <c r="I633" s="1"/>
    </row>
    <row r="634" ht="12.75" customHeight="1">
      <c r="I634" s="1"/>
    </row>
    <row r="635" ht="12.75" customHeight="1">
      <c r="I635" s="1"/>
    </row>
    <row r="636" ht="12.75" customHeight="1">
      <c r="I636" s="1"/>
    </row>
    <row r="637" ht="12.75" customHeight="1">
      <c r="I637" s="1"/>
    </row>
    <row r="638" ht="12.75" customHeight="1">
      <c r="I638" s="1"/>
    </row>
    <row r="639" ht="12.75" customHeight="1">
      <c r="I639" s="1"/>
    </row>
    <row r="640" ht="12.75" customHeight="1">
      <c r="I640" s="1"/>
    </row>
    <row r="641" ht="12.75" customHeight="1">
      <c r="I641" s="1"/>
    </row>
    <row r="642" ht="12.75" customHeight="1">
      <c r="I642" s="1"/>
    </row>
    <row r="643" ht="12.75" customHeight="1">
      <c r="I643" s="1"/>
    </row>
    <row r="644" ht="12.75" customHeight="1">
      <c r="I644" s="1"/>
    </row>
    <row r="645" ht="12.75" customHeight="1">
      <c r="I645" s="1"/>
    </row>
    <row r="646" ht="12.75" customHeight="1">
      <c r="I646" s="1"/>
    </row>
    <row r="647" ht="12.75" customHeight="1">
      <c r="I647" s="1"/>
    </row>
    <row r="648" ht="12.75" customHeight="1">
      <c r="I648" s="1"/>
    </row>
    <row r="649" ht="12.75" customHeight="1">
      <c r="I649" s="1"/>
    </row>
    <row r="650" ht="12.75" customHeight="1">
      <c r="I650" s="1"/>
    </row>
    <row r="651" ht="12.75" customHeight="1">
      <c r="I651" s="1"/>
    </row>
    <row r="652" ht="12.75" customHeight="1">
      <c r="I652" s="1"/>
    </row>
    <row r="653" ht="12.75" customHeight="1">
      <c r="I653" s="1"/>
    </row>
    <row r="654" ht="12.75" customHeight="1">
      <c r="I654" s="1"/>
    </row>
    <row r="655" ht="12.75" customHeight="1">
      <c r="I655" s="1"/>
    </row>
    <row r="656" ht="12.75" customHeight="1">
      <c r="I656" s="1"/>
    </row>
    <row r="657" ht="12.75" customHeight="1">
      <c r="I657" s="1"/>
    </row>
    <row r="658" ht="12.75" customHeight="1">
      <c r="I658" s="1"/>
    </row>
    <row r="659" ht="12.75" customHeight="1">
      <c r="I659" s="1"/>
    </row>
    <row r="660" ht="12.75" customHeight="1">
      <c r="I660" s="1"/>
    </row>
    <row r="661" ht="12.75" customHeight="1">
      <c r="I661" s="1"/>
    </row>
    <row r="662" ht="12.75" customHeight="1">
      <c r="I662" s="1"/>
    </row>
    <row r="663" ht="12.75" customHeight="1">
      <c r="I663" s="1"/>
    </row>
    <row r="664" ht="12.75" customHeight="1">
      <c r="I664" s="1"/>
    </row>
    <row r="665" ht="12.75" customHeight="1">
      <c r="I665" s="1"/>
    </row>
    <row r="666" ht="12.75" customHeight="1">
      <c r="I666" s="1"/>
    </row>
    <row r="667" ht="12.75" customHeight="1">
      <c r="I667" s="1"/>
    </row>
    <row r="668" ht="12.75" customHeight="1">
      <c r="I668" s="1"/>
    </row>
    <row r="669" ht="12.75" customHeight="1">
      <c r="I669" s="1"/>
    </row>
    <row r="670" ht="12.75" customHeight="1">
      <c r="I670" s="1"/>
    </row>
    <row r="671" ht="12.75" customHeight="1">
      <c r="I671" s="1"/>
    </row>
    <row r="672" ht="12.75" customHeight="1">
      <c r="I672" s="1"/>
    </row>
    <row r="673" ht="12.75" customHeight="1">
      <c r="I673" s="1"/>
    </row>
    <row r="674" ht="12.75" customHeight="1">
      <c r="I674" s="1"/>
    </row>
    <row r="675" ht="12.75" customHeight="1">
      <c r="I675" s="1"/>
    </row>
    <row r="676" ht="12.75" customHeight="1">
      <c r="I676" s="1"/>
    </row>
    <row r="677" ht="12.75" customHeight="1">
      <c r="I677" s="1"/>
    </row>
    <row r="678" ht="12.75" customHeight="1">
      <c r="I678" s="1"/>
    </row>
    <row r="679" ht="12.75" customHeight="1">
      <c r="I679" s="1"/>
    </row>
    <row r="680" ht="12.75" customHeight="1">
      <c r="I680" s="1"/>
    </row>
    <row r="681" ht="12.75" customHeight="1">
      <c r="I681" s="1"/>
    </row>
    <row r="682" ht="12.75" customHeight="1">
      <c r="I682" s="1"/>
    </row>
    <row r="683" ht="12.75" customHeight="1">
      <c r="I683" s="1"/>
    </row>
    <row r="684" ht="12.75" customHeight="1">
      <c r="I684" s="1"/>
    </row>
    <row r="685" ht="12.75" customHeight="1">
      <c r="I685" s="1"/>
    </row>
    <row r="686" ht="12.75" customHeight="1">
      <c r="I686" s="1"/>
    </row>
    <row r="687" ht="12.75" customHeight="1">
      <c r="I687" s="1"/>
    </row>
    <row r="688" ht="12.75" customHeight="1">
      <c r="I688" s="1"/>
    </row>
    <row r="689" ht="12.75" customHeight="1">
      <c r="I689" s="1"/>
    </row>
    <row r="690" ht="12.75" customHeight="1">
      <c r="I690" s="1"/>
    </row>
    <row r="691" ht="12.75" customHeight="1">
      <c r="I691" s="1"/>
    </row>
    <row r="692" ht="12.75" customHeight="1">
      <c r="I692" s="1"/>
    </row>
    <row r="693" ht="12.75" customHeight="1">
      <c r="I693" s="1"/>
    </row>
    <row r="694" ht="12.75" customHeight="1">
      <c r="I694" s="1"/>
    </row>
    <row r="695" ht="12.75" customHeight="1">
      <c r="I695" s="1"/>
    </row>
    <row r="696" ht="12.75" customHeight="1">
      <c r="I696" s="1"/>
    </row>
    <row r="697" ht="12.75" customHeight="1">
      <c r="I697" s="1"/>
    </row>
    <row r="698" ht="12.75" customHeight="1">
      <c r="I698" s="1"/>
    </row>
    <row r="699" ht="12.75" customHeight="1">
      <c r="I699" s="1"/>
    </row>
    <row r="700" ht="12.75" customHeight="1">
      <c r="I700" s="1"/>
    </row>
    <row r="701" ht="12.75" customHeight="1">
      <c r="I701" s="1"/>
    </row>
    <row r="702" ht="12.75" customHeight="1">
      <c r="I702" s="1"/>
    </row>
    <row r="703" ht="12.75" customHeight="1">
      <c r="I703" s="1"/>
    </row>
    <row r="704" ht="12.75" customHeight="1">
      <c r="I704" s="1"/>
    </row>
    <row r="705" ht="12.75" customHeight="1">
      <c r="I705" s="1"/>
    </row>
    <row r="706" ht="12.75" customHeight="1">
      <c r="I706" s="1"/>
    </row>
    <row r="707" ht="12.75" customHeight="1">
      <c r="I707" s="1"/>
    </row>
    <row r="708" ht="12.75" customHeight="1">
      <c r="I708" s="1"/>
    </row>
    <row r="709" ht="12.75" customHeight="1">
      <c r="I709" s="1"/>
    </row>
    <row r="710" ht="12.75" customHeight="1">
      <c r="I710" s="1"/>
    </row>
    <row r="711" ht="12.75" customHeight="1">
      <c r="I711" s="1"/>
    </row>
    <row r="712" ht="12.75" customHeight="1">
      <c r="I712" s="1"/>
    </row>
    <row r="713" ht="12.75" customHeight="1">
      <c r="I713" s="1"/>
    </row>
    <row r="714" ht="12.75" customHeight="1">
      <c r="I714" s="1"/>
    </row>
    <row r="715" ht="12.75" customHeight="1">
      <c r="I715" s="1"/>
    </row>
    <row r="716" ht="12.75" customHeight="1">
      <c r="I716" s="1"/>
    </row>
    <row r="717" ht="12.75" customHeight="1">
      <c r="I717" s="1"/>
    </row>
    <row r="718" ht="12.75" customHeight="1">
      <c r="I718" s="1"/>
    </row>
    <row r="719" ht="12.75" customHeight="1">
      <c r="I719" s="1"/>
    </row>
    <row r="720" ht="12.75" customHeight="1">
      <c r="I720" s="1"/>
    </row>
    <row r="721" ht="12.75" customHeight="1">
      <c r="I721" s="1"/>
    </row>
    <row r="722" ht="12.75" customHeight="1">
      <c r="I722" s="1"/>
    </row>
    <row r="723" ht="12.75" customHeight="1">
      <c r="I723" s="1"/>
    </row>
    <row r="724" ht="12.75" customHeight="1">
      <c r="I724" s="1"/>
    </row>
    <row r="725" ht="12.75" customHeight="1">
      <c r="I725" s="1"/>
    </row>
    <row r="726" ht="12.75" customHeight="1">
      <c r="I726" s="1"/>
    </row>
    <row r="727" ht="12.75" customHeight="1">
      <c r="I727" s="1"/>
    </row>
    <row r="728" ht="12.75" customHeight="1">
      <c r="I728" s="1"/>
    </row>
    <row r="729" ht="12.75" customHeight="1">
      <c r="I729" s="1"/>
    </row>
    <row r="730" ht="12.75" customHeight="1">
      <c r="I730" s="1"/>
    </row>
    <row r="731" ht="12.75" customHeight="1">
      <c r="I731" s="1"/>
    </row>
    <row r="732" ht="12.75" customHeight="1">
      <c r="I732" s="1"/>
    </row>
    <row r="733" ht="12.75" customHeight="1">
      <c r="I733" s="1"/>
    </row>
    <row r="734" ht="12.75" customHeight="1">
      <c r="I734" s="1"/>
    </row>
    <row r="735" ht="12.75" customHeight="1">
      <c r="I735" s="1"/>
    </row>
    <row r="736" ht="12.75" customHeight="1">
      <c r="I736" s="1"/>
    </row>
    <row r="737" ht="12.75" customHeight="1">
      <c r="I737" s="1"/>
    </row>
    <row r="738" ht="12.75" customHeight="1">
      <c r="I738" s="1"/>
    </row>
    <row r="739" ht="12.75" customHeight="1">
      <c r="I739" s="1"/>
    </row>
    <row r="740" ht="12.75" customHeight="1">
      <c r="I740" s="1"/>
    </row>
    <row r="741" ht="12.75" customHeight="1">
      <c r="I741" s="1"/>
    </row>
    <row r="742" ht="12.75" customHeight="1">
      <c r="I742" s="1"/>
    </row>
    <row r="743" ht="12.75" customHeight="1">
      <c r="I743" s="1"/>
    </row>
    <row r="744" ht="12.75" customHeight="1">
      <c r="I744" s="1"/>
    </row>
    <row r="745" ht="12.75" customHeight="1">
      <c r="I745" s="1"/>
    </row>
    <row r="746" ht="12.75" customHeight="1">
      <c r="I746" s="1"/>
    </row>
    <row r="747" ht="12.75" customHeight="1">
      <c r="I747" s="1"/>
    </row>
    <row r="748" ht="12.75" customHeight="1">
      <c r="I748" s="1"/>
    </row>
    <row r="749" ht="12.75" customHeight="1">
      <c r="I749" s="1"/>
    </row>
    <row r="750" ht="12.75" customHeight="1">
      <c r="I750" s="1"/>
    </row>
    <row r="751" ht="12.75" customHeight="1">
      <c r="I751" s="1"/>
    </row>
    <row r="752" ht="12.75" customHeight="1">
      <c r="I752" s="1"/>
    </row>
    <row r="753" ht="12.75" customHeight="1">
      <c r="I753" s="1"/>
    </row>
    <row r="754" ht="12.75" customHeight="1">
      <c r="I754" s="1"/>
    </row>
    <row r="755" ht="12.75" customHeight="1">
      <c r="I755" s="1"/>
    </row>
    <row r="756" ht="12.75" customHeight="1">
      <c r="I756" s="1"/>
    </row>
    <row r="757" ht="12.75" customHeight="1">
      <c r="I757" s="1"/>
    </row>
    <row r="758" ht="12.75" customHeight="1">
      <c r="I758" s="1"/>
    </row>
    <row r="759" ht="12.75" customHeight="1">
      <c r="I759" s="1"/>
    </row>
    <row r="760" ht="12.75" customHeight="1">
      <c r="I760" s="1"/>
    </row>
    <row r="761" ht="12.75" customHeight="1">
      <c r="I761" s="1"/>
    </row>
    <row r="762" ht="12.75" customHeight="1">
      <c r="I762" s="1"/>
    </row>
    <row r="763" ht="12.75" customHeight="1">
      <c r="I763" s="1"/>
    </row>
    <row r="764" ht="12.75" customHeight="1">
      <c r="I764" s="1"/>
    </row>
    <row r="765" ht="12.75" customHeight="1">
      <c r="I765" s="1"/>
    </row>
    <row r="766" ht="12.75" customHeight="1">
      <c r="I766" s="1"/>
    </row>
    <row r="767" ht="12.75" customHeight="1">
      <c r="I767" s="1"/>
    </row>
    <row r="768" ht="12.75" customHeight="1">
      <c r="I768" s="1"/>
    </row>
    <row r="769" ht="12.75" customHeight="1">
      <c r="I769" s="1"/>
    </row>
    <row r="770" ht="12.75" customHeight="1">
      <c r="I770" s="1"/>
    </row>
    <row r="771" ht="12.75" customHeight="1">
      <c r="I771" s="1"/>
    </row>
    <row r="772" ht="12.75" customHeight="1">
      <c r="I772" s="1"/>
    </row>
    <row r="773" ht="12.75" customHeight="1">
      <c r="I773" s="1"/>
    </row>
    <row r="774" ht="12.75" customHeight="1">
      <c r="I774" s="1"/>
    </row>
    <row r="775" ht="12.75" customHeight="1">
      <c r="I775" s="1"/>
    </row>
    <row r="776" ht="12.75" customHeight="1">
      <c r="I776" s="1"/>
    </row>
    <row r="777" ht="12.75" customHeight="1">
      <c r="I777" s="1"/>
    </row>
    <row r="778" ht="12.75" customHeight="1">
      <c r="I778" s="1"/>
    </row>
    <row r="779" ht="12.75" customHeight="1">
      <c r="I779" s="1"/>
    </row>
    <row r="780" ht="12.75" customHeight="1">
      <c r="I780" s="1"/>
    </row>
    <row r="781" ht="12.75" customHeight="1">
      <c r="I781" s="1"/>
    </row>
    <row r="782" ht="12.75" customHeight="1">
      <c r="I782" s="1"/>
    </row>
    <row r="783" ht="12.75" customHeight="1">
      <c r="I783" s="1"/>
    </row>
    <row r="784" ht="12.75" customHeight="1">
      <c r="I784" s="1"/>
    </row>
    <row r="785" ht="12.75" customHeight="1">
      <c r="I785" s="1"/>
    </row>
    <row r="786" ht="12.75" customHeight="1">
      <c r="I786" s="1"/>
    </row>
    <row r="787" ht="12.75" customHeight="1">
      <c r="I787" s="1"/>
    </row>
    <row r="788" ht="12.75" customHeight="1">
      <c r="I788" s="1"/>
    </row>
    <row r="789" ht="12.75" customHeight="1">
      <c r="I789" s="1"/>
    </row>
    <row r="790" ht="12.75" customHeight="1">
      <c r="I790" s="1"/>
    </row>
    <row r="791" ht="12.75" customHeight="1">
      <c r="I791" s="1"/>
    </row>
    <row r="792" ht="12.75" customHeight="1">
      <c r="I792" s="1"/>
    </row>
    <row r="793" ht="12.75" customHeight="1">
      <c r="I793" s="1"/>
    </row>
    <row r="794" ht="12.75" customHeight="1">
      <c r="I794" s="1"/>
    </row>
    <row r="795" ht="12.75" customHeight="1">
      <c r="I795" s="1"/>
    </row>
    <row r="796" ht="12.75" customHeight="1">
      <c r="I796" s="1"/>
    </row>
    <row r="797" ht="12.75" customHeight="1">
      <c r="I797" s="1"/>
    </row>
    <row r="798" ht="12.75" customHeight="1">
      <c r="I798" s="1"/>
    </row>
    <row r="799" ht="12.75" customHeight="1">
      <c r="I799" s="1"/>
    </row>
    <row r="800" ht="12.75" customHeight="1">
      <c r="I800" s="1"/>
    </row>
    <row r="801" ht="12.75" customHeight="1">
      <c r="I801" s="1"/>
    </row>
    <row r="802" ht="12.75" customHeight="1">
      <c r="I802" s="1"/>
    </row>
    <row r="803" ht="12.75" customHeight="1">
      <c r="I803" s="1"/>
    </row>
    <row r="804" ht="12.75" customHeight="1">
      <c r="I804" s="1"/>
    </row>
    <row r="805" ht="12.75" customHeight="1">
      <c r="I805" s="1"/>
    </row>
    <row r="806" ht="12.75" customHeight="1">
      <c r="I806" s="1"/>
    </row>
    <row r="807" ht="12.75" customHeight="1">
      <c r="I807" s="1"/>
    </row>
    <row r="808" ht="12.75" customHeight="1">
      <c r="I808" s="1"/>
    </row>
    <row r="809" ht="12.75" customHeight="1">
      <c r="I809" s="1"/>
    </row>
    <row r="810" ht="12.75" customHeight="1">
      <c r="I810" s="1"/>
    </row>
    <row r="811" ht="12.75" customHeight="1">
      <c r="I811" s="1"/>
    </row>
    <row r="812" ht="12.75" customHeight="1">
      <c r="I812" s="1"/>
    </row>
    <row r="813" ht="12.75" customHeight="1">
      <c r="I813" s="1"/>
    </row>
    <row r="814" ht="12.75" customHeight="1">
      <c r="I814" s="1"/>
    </row>
    <row r="815" ht="12.75" customHeight="1">
      <c r="I815" s="1"/>
    </row>
    <row r="816" ht="12.75" customHeight="1">
      <c r="I816" s="1"/>
    </row>
    <row r="817" ht="12.75" customHeight="1">
      <c r="I817" s="1"/>
    </row>
    <row r="818" ht="12.75" customHeight="1">
      <c r="I818" s="1"/>
    </row>
    <row r="819" ht="12.75" customHeight="1">
      <c r="I819" s="1"/>
    </row>
    <row r="820" ht="12.75" customHeight="1">
      <c r="I820" s="1"/>
    </row>
    <row r="821" ht="12.75" customHeight="1">
      <c r="I821" s="1"/>
    </row>
    <row r="822" ht="12.75" customHeight="1">
      <c r="I822" s="1"/>
    </row>
    <row r="823" ht="12.75" customHeight="1">
      <c r="I823" s="1"/>
    </row>
    <row r="824" ht="12.75" customHeight="1">
      <c r="I824" s="1"/>
    </row>
    <row r="825" ht="12.75" customHeight="1">
      <c r="I825" s="1"/>
    </row>
    <row r="826" ht="12.75" customHeight="1">
      <c r="I826" s="1"/>
    </row>
    <row r="827" ht="12.75" customHeight="1">
      <c r="I827" s="1"/>
    </row>
    <row r="828" ht="12.75" customHeight="1">
      <c r="I828" s="1"/>
    </row>
    <row r="829" ht="12.75" customHeight="1">
      <c r="I829" s="1"/>
    </row>
    <row r="830" ht="12.75" customHeight="1">
      <c r="I830" s="1"/>
    </row>
    <row r="831" ht="12.75" customHeight="1">
      <c r="I831" s="1"/>
    </row>
    <row r="832" ht="12.75" customHeight="1">
      <c r="I832" s="1"/>
    </row>
    <row r="833" ht="12.75" customHeight="1">
      <c r="I833" s="1"/>
    </row>
    <row r="834" ht="12.75" customHeight="1">
      <c r="I834" s="1"/>
    </row>
    <row r="835" ht="12.75" customHeight="1">
      <c r="I835" s="1"/>
    </row>
    <row r="836" ht="12.75" customHeight="1">
      <c r="I836" s="1"/>
    </row>
    <row r="837" ht="12.75" customHeight="1">
      <c r="I837" s="1"/>
    </row>
    <row r="838" ht="12.75" customHeight="1">
      <c r="I838" s="1"/>
    </row>
    <row r="839" ht="12.75" customHeight="1">
      <c r="I839" s="1"/>
    </row>
    <row r="840" ht="12.75" customHeight="1">
      <c r="I840" s="1"/>
    </row>
    <row r="841" ht="12.75" customHeight="1">
      <c r="I841" s="1"/>
    </row>
    <row r="842" ht="12.75" customHeight="1">
      <c r="I842" s="1"/>
    </row>
    <row r="843" ht="12.75" customHeight="1">
      <c r="I843" s="1"/>
    </row>
    <row r="844" ht="12.75" customHeight="1">
      <c r="I844" s="1"/>
    </row>
    <row r="845" ht="12.75" customHeight="1">
      <c r="I845" s="1"/>
    </row>
    <row r="846" ht="12.75" customHeight="1">
      <c r="I846" s="1"/>
    </row>
    <row r="847" ht="12.75" customHeight="1">
      <c r="I847" s="1"/>
    </row>
    <row r="848" ht="12.75" customHeight="1">
      <c r="I848" s="1"/>
    </row>
    <row r="849" ht="12.75" customHeight="1">
      <c r="I849" s="1"/>
    </row>
    <row r="850" ht="12.75" customHeight="1">
      <c r="I850" s="1"/>
    </row>
    <row r="851" ht="12.75" customHeight="1">
      <c r="I851" s="1"/>
    </row>
    <row r="852" ht="12.75" customHeight="1">
      <c r="I852" s="1"/>
    </row>
    <row r="853" ht="12.75" customHeight="1">
      <c r="I853" s="1"/>
    </row>
    <row r="854" ht="12.75" customHeight="1">
      <c r="I854" s="1"/>
    </row>
    <row r="855" ht="12.75" customHeight="1">
      <c r="I855" s="1"/>
    </row>
    <row r="856" ht="12.75" customHeight="1">
      <c r="I856" s="1"/>
    </row>
    <row r="857" ht="12.75" customHeight="1">
      <c r="I857" s="1"/>
    </row>
    <row r="858" ht="12.75" customHeight="1">
      <c r="I858" s="1"/>
    </row>
    <row r="859" ht="12.75" customHeight="1">
      <c r="I859" s="1"/>
    </row>
    <row r="860" ht="12.75" customHeight="1">
      <c r="I860" s="1"/>
    </row>
    <row r="861" ht="12.75" customHeight="1">
      <c r="I861" s="1"/>
    </row>
    <row r="862" ht="12.75" customHeight="1">
      <c r="I862" s="1"/>
    </row>
    <row r="863" ht="12.75" customHeight="1">
      <c r="I863" s="1"/>
    </row>
    <row r="864" ht="12.75" customHeight="1">
      <c r="I864" s="1"/>
    </row>
    <row r="865" ht="12.75" customHeight="1">
      <c r="I865" s="1"/>
    </row>
    <row r="866" ht="12.75" customHeight="1">
      <c r="I866" s="1"/>
    </row>
    <row r="867" ht="12.75" customHeight="1">
      <c r="I867" s="1"/>
    </row>
    <row r="868" ht="12.75" customHeight="1">
      <c r="I868" s="1"/>
    </row>
    <row r="869" ht="12.75" customHeight="1">
      <c r="I869" s="1"/>
    </row>
    <row r="870" ht="12.75" customHeight="1">
      <c r="I870" s="1"/>
    </row>
    <row r="871" ht="12.75" customHeight="1">
      <c r="I871" s="1"/>
    </row>
    <row r="872" ht="12.75" customHeight="1">
      <c r="I872" s="1"/>
    </row>
    <row r="873" ht="12.75" customHeight="1">
      <c r="I873" s="1"/>
    </row>
    <row r="874" ht="12.75" customHeight="1">
      <c r="I874" s="1"/>
    </row>
    <row r="875" ht="12.75" customHeight="1">
      <c r="I875" s="1"/>
    </row>
    <row r="876" ht="12.75" customHeight="1">
      <c r="I876" s="1"/>
    </row>
    <row r="877" ht="12.75" customHeight="1">
      <c r="I877" s="1"/>
    </row>
    <row r="878" ht="12.75" customHeight="1">
      <c r="I878" s="1"/>
    </row>
    <row r="879" ht="12.75" customHeight="1">
      <c r="I879" s="1"/>
    </row>
    <row r="880" ht="12.75" customHeight="1">
      <c r="I880" s="1"/>
    </row>
    <row r="881" ht="12.75" customHeight="1">
      <c r="I881" s="1"/>
    </row>
    <row r="882" ht="12.75" customHeight="1">
      <c r="I882" s="1"/>
    </row>
    <row r="883" ht="12.75" customHeight="1">
      <c r="I883" s="1"/>
    </row>
    <row r="884" ht="12.75" customHeight="1">
      <c r="I884" s="1"/>
    </row>
    <row r="885" ht="12.75" customHeight="1">
      <c r="I885" s="1"/>
    </row>
    <row r="886" ht="12.75" customHeight="1">
      <c r="I886" s="1"/>
    </row>
    <row r="887" ht="12.75" customHeight="1">
      <c r="I887" s="1"/>
    </row>
    <row r="888" ht="12.75" customHeight="1">
      <c r="I888" s="1"/>
    </row>
    <row r="889" ht="12.75" customHeight="1">
      <c r="I889" s="1"/>
    </row>
    <row r="890" ht="12.75" customHeight="1">
      <c r="I890" s="1"/>
    </row>
    <row r="891" ht="12.75" customHeight="1">
      <c r="I891" s="1"/>
    </row>
    <row r="892" ht="12.75" customHeight="1">
      <c r="I892" s="1"/>
    </row>
    <row r="893" ht="12.75" customHeight="1">
      <c r="I893" s="1"/>
    </row>
    <row r="894" ht="12.75" customHeight="1">
      <c r="I894" s="1"/>
    </row>
    <row r="895" ht="12.75" customHeight="1">
      <c r="I895" s="1"/>
    </row>
    <row r="896" ht="12.75" customHeight="1">
      <c r="I896" s="1"/>
    </row>
    <row r="897" ht="12.75" customHeight="1">
      <c r="I897" s="1"/>
    </row>
    <row r="898" ht="12.75" customHeight="1">
      <c r="I898" s="1"/>
    </row>
    <row r="899" ht="12.75" customHeight="1">
      <c r="I899" s="1"/>
    </row>
    <row r="900" ht="12.75" customHeight="1">
      <c r="I900" s="1"/>
    </row>
    <row r="901" ht="12.75" customHeight="1">
      <c r="I901" s="1"/>
    </row>
    <row r="902" ht="12.75" customHeight="1">
      <c r="I902" s="1"/>
    </row>
    <row r="903" ht="12.75" customHeight="1">
      <c r="I903" s="1"/>
    </row>
    <row r="904" ht="12.75" customHeight="1">
      <c r="I904" s="1"/>
    </row>
    <row r="905" ht="12.75" customHeight="1">
      <c r="I905" s="1"/>
    </row>
    <row r="906" ht="12.75" customHeight="1">
      <c r="I906" s="1"/>
    </row>
    <row r="907" ht="12.75" customHeight="1">
      <c r="I907" s="1"/>
    </row>
    <row r="908" ht="12.75" customHeight="1">
      <c r="I908" s="1"/>
    </row>
    <row r="909" ht="12.75" customHeight="1">
      <c r="I909" s="1"/>
    </row>
    <row r="910" ht="12.75" customHeight="1">
      <c r="I910" s="1"/>
    </row>
    <row r="911" ht="12.75" customHeight="1">
      <c r="I911" s="1"/>
    </row>
    <row r="912" ht="12.75" customHeight="1">
      <c r="I912" s="1"/>
    </row>
    <row r="913" ht="12.75" customHeight="1">
      <c r="I913" s="1"/>
    </row>
    <row r="914" ht="12.75" customHeight="1">
      <c r="I914" s="1"/>
    </row>
    <row r="915" ht="12.75" customHeight="1">
      <c r="I915" s="1"/>
    </row>
    <row r="916" ht="12.75" customHeight="1">
      <c r="I916" s="1"/>
    </row>
    <row r="917" ht="12.75" customHeight="1">
      <c r="I917" s="1"/>
    </row>
    <row r="918" ht="12.75" customHeight="1">
      <c r="I918" s="1"/>
    </row>
    <row r="919" ht="12.75" customHeight="1">
      <c r="I919" s="1"/>
    </row>
    <row r="920" ht="12.75" customHeight="1">
      <c r="I920" s="1"/>
    </row>
    <row r="921" ht="12.75" customHeight="1">
      <c r="I921" s="1"/>
    </row>
    <row r="922" ht="12.75" customHeight="1">
      <c r="I922" s="1"/>
    </row>
    <row r="923" ht="12.75" customHeight="1">
      <c r="I923" s="1"/>
    </row>
    <row r="924" ht="12.75" customHeight="1">
      <c r="I924" s="1"/>
    </row>
    <row r="925" ht="12.75" customHeight="1">
      <c r="I925" s="1"/>
    </row>
    <row r="926" ht="12.75" customHeight="1">
      <c r="I926" s="1"/>
    </row>
    <row r="927" ht="12.75" customHeight="1">
      <c r="I927" s="1"/>
    </row>
    <row r="928" ht="12.75" customHeight="1">
      <c r="I928" s="1"/>
    </row>
    <row r="929" ht="12.75" customHeight="1">
      <c r="I929" s="1"/>
    </row>
    <row r="930" ht="12.75" customHeight="1">
      <c r="I930" s="1"/>
    </row>
    <row r="931" ht="12.75" customHeight="1">
      <c r="I931" s="1"/>
    </row>
    <row r="932" ht="12.75" customHeight="1">
      <c r="I932" s="1"/>
    </row>
    <row r="933" ht="12.75" customHeight="1">
      <c r="I933" s="1"/>
    </row>
    <row r="934" ht="12.75" customHeight="1">
      <c r="I934" s="1"/>
    </row>
    <row r="935" ht="12.75" customHeight="1">
      <c r="I935" s="1"/>
    </row>
    <row r="936" ht="12.75" customHeight="1">
      <c r="I936" s="1"/>
    </row>
    <row r="937" ht="12.75" customHeight="1">
      <c r="I937" s="1"/>
    </row>
    <row r="938" ht="12.75" customHeight="1">
      <c r="I938" s="1"/>
    </row>
    <row r="939" ht="12.75" customHeight="1">
      <c r="I939" s="1"/>
    </row>
    <row r="940" ht="12.75" customHeight="1">
      <c r="I940" s="1"/>
    </row>
    <row r="941" ht="12.75" customHeight="1">
      <c r="I941" s="1"/>
    </row>
    <row r="942" ht="12.75" customHeight="1">
      <c r="I942" s="1"/>
    </row>
    <row r="943" ht="12.75" customHeight="1">
      <c r="I943" s="1"/>
    </row>
    <row r="944" ht="12.75" customHeight="1">
      <c r="I944" s="1"/>
    </row>
    <row r="945" ht="12.75" customHeight="1">
      <c r="I945" s="1"/>
    </row>
    <row r="946" ht="12.75" customHeight="1">
      <c r="I946" s="1"/>
    </row>
    <row r="947" ht="12.75" customHeight="1">
      <c r="I947" s="1"/>
    </row>
    <row r="948" ht="12.75" customHeight="1">
      <c r="I948" s="1"/>
    </row>
    <row r="949" ht="12.75" customHeight="1">
      <c r="I949" s="1"/>
    </row>
    <row r="950" ht="12.75" customHeight="1">
      <c r="I950" s="1"/>
    </row>
    <row r="951" ht="12.75" customHeight="1">
      <c r="I951" s="1"/>
    </row>
    <row r="952" ht="12.75" customHeight="1">
      <c r="I952" s="1"/>
    </row>
    <row r="953" ht="12.75" customHeight="1">
      <c r="I953" s="1"/>
    </row>
    <row r="954" ht="12.75" customHeight="1">
      <c r="I954" s="1"/>
    </row>
    <row r="955" ht="12.75" customHeight="1">
      <c r="I955" s="1"/>
    </row>
    <row r="956" ht="12.75" customHeight="1">
      <c r="I956" s="1"/>
    </row>
    <row r="957" ht="12.75" customHeight="1">
      <c r="I957" s="1"/>
    </row>
    <row r="958" ht="12.75" customHeight="1">
      <c r="I958" s="1"/>
    </row>
    <row r="959" ht="12.75" customHeight="1">
      <c r="I959" s="1"/>
    </row>
    <row r="960" ht="12.75" customHeight="1">
      <c r="I960" s="1"/>
    </row>
    <row r="961" ht="12.75" customHeight="1">
      <c r="I961" s="1"/>
    </row>
    <row r="962" ht="12.75" customHeight="1">
      <c r="I962" s="1"/>
    </row>
    <row r="963" ht="12.75" customHeight="1">
      <c r="I963" s="1"/>
    </row>
    <row r="964" ht="12.75" customHeight="1">
      <c r="I964" s="1"/>
    </row>
    <row r="965" ht="12.75" customHeight="1">
      <c r="I965" s="1"/>
    </row>
    <row r="966" ht="12.75" customHeight="1">
      <c r="I966" s="1"/>
    </row>
    <row r="967" ht="12.75" customHeight="1">
      <c r="I967" s="1"/>
    </row>
    <row r="968" ht="12.75" customHeight="1">
      <c r="I968" s="1"/>
    </row>
    <row r="969" ht="12.75" customHeight="1">
      <c r="I969" s="1"/>
    </row>
    <row r="970" ht="12.75" customHeight="1">
      <c r="I970" s="1"/>
    </row>
    <row r="971" ht="12.75" customHeight="1">
      <c r="I971" s="1"/>
    </row>
    <row r="972" ht="12.75" customHeight="1">
      <c r="I972" s="1"/>
    </row>
    <row r="973" ht="12.75" customHeight="1">
      <c r="I973" s="1"/>
    </row>
    <row r="974" ht="12.75" customHeight="1">
      <c r="I974" s="1"/>
    </row>
    <row r="975" ht="12.75" customHeight="1">
      <c r="I975" s="1"/>
    </row>
    <row r="976" ht="12.75" customHeight="1">
      <c r="I976" s="1"/>
    </row>
    <row r="977" ht="12.75" customHeight="1">
      <c r="I977" s="1"/>
    </row>
    <row r="978" ht="12.75" customHeight="1">
      <c r="I978" s="1"/>
    </row>
    <row r="979" ht="12.75" customHeight="1">
      <c r="I979" s="1"/>
    </row>
    <row r="980" ht="12.75" customHeight="1">
      <c r="I980" s="1"/>
    </row>
    <row r="981" ht="12.75" customHeight="1">
      <c r="I981" s="1"/>
    </row>
    <row r="982" ht="12.75" customHeight="1">
      <c r="I982" s="1"/>
    </row>
    <row r="983" ht="12.75" customHeight="1">
      <c r="I983" s="1"/>
    </row>
    <row r="984" ht="12.75" customHeight="1">
      <c r="I984" s="1"/>
    </row>
    <row r="985" ht="12.75" customHeight="1">
      <c r="I985" s="1"/>
    </row>
    <row r="986" ht="12.75" customHeight="1">
      <c r="I986" s="1"/>
    </row>
    <row r="987" ht="12.75" customHeight="1">
      <c r="I987" s="1"/>
    </row>
    <row r="988" ht="12.75" customHeight="1">
      <c r="I988" s="1"/>
    </row>
    <row r="989" ht="12.75" customHeight="1">
      <c r="I989" s="1"/>
    </row>
    <row r="990" ht="12.75" customHeight="1">
      <c r="I990" s="1"/>
    </row>
    <row r="991" ht="12.75" customHeight="1">
      <c r="I991" s="1"/>
    </row>
    <row r="992" ht="12.75" customHeight="1">
      <c r="I992" s="1"/>
    </row>
    <row r="993" ht="12.75" customHeight="1">
      <c r="I993" s="1"/>
    </row>
    <row r="994" ht="12.75" customHeight="1">
      <c r="I994" s="1"/>
    </row>
    <row r="995" ht="12.75" customHeight="1">
      <c r="I995" s="1"/>
    </row>
    <row r="996" ht="12.75" customHeight="1">
      <c r="I996" s="1"/>
    </row>
    <row r="997" ht="12.75" customHeight="1">
      <c r="I997" s="1"/>
    </row>
    <row r="998" ht="12.75" customHeight="1">
      <c r="I998" s="1"/>
    </row>
    <row r="999" ht="12.75" customHeight="1">
      <c r="I999" s="1"/>
    </row>
    <row r="1000" ht="12.75" customHeight="1">
      <c r="I1000" s="1"/>
    </row>
  </sheetData>
  <conditionalFormatting sqref="D33:D36">
    <cfRule type="expression" dxfId="2" priority="1">
      <formula>$I$27=1</formula>
    </cfRule>
  </conditionalFormatting>
  <conditionalFormatting sqref="E33:E36">
    <cfRule type="expression" dxfId="2" priority="2">
      <formula>$I$27=2</formula>
    </cfRule>
  </conditionalFormatting>
  <conditionalFormatting sqref="F33:F36">
    <cfRule type="expression" dxfId="2" priority="3">
      <formula>$I$27=3</formula>
    </cfRule>
  </conditionalFormatting>
  <printOptions/>
  <pageMargins bottom="0.75" footer="0.0" header="0.0" left="0.7" right="0.7" top="0.75"/>
  <pageSetup orientation="landscape"/>
  <drawing r:id="rId1"/>
</worksheet>
</file>