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oussaud\"/>
    </mc:Choice>
  </mc:AlternateContent>
  <bookViews>
    <workbookView xWindow="0" yWindow="0" windowWidth="23040" windowHeight="8136" tabRatio="731"/>
  </bookViews>
  <sheets>
    <sheet name="SIG" sheetId="1" r:id="rId1"/>
    <sheet name="ENCAISSEMENTS" sheetId="3" r:id="rId2"/>
    <sheet name="DECAISSEMENTS" sheetId="4" r:id="rId3"/>
    <sheet name="Prêt" sheetId="6" r:id="rId4"/>
  </sheets>
  <externalReferences>
    <externalReference r:id="rId5"/>
  </externalReferences>
  <definedNames>
    <definedName name="Capital">-PPMT(Taux_Intérêt/12,Numéro_Paiement,Nombre_De_Paiements,Montant_Du_Prêt)</definedName>
    <definedName name="Coût_Total">#REF!</definedName>
    <definedName name="Date_Paiement">DATE(YEAR(Début_Prêt),MONTH(Début_Prêt)+Numéro_Paiement,DAY(Début_Prêt))</definedName>
    <definedName name="Début_Prêt">'[1]Calculateur de prêt'!$E$6</definedName>
    <definedName name="Dernière_Ligne">IF(Valeurs_Entrées,Ligne_EnTête+Nombre_De_Paiements,Ligne_EnTête)</definedName>
    <definedName name="Durée_Prêt">'[1]Calculateur de prêt'!$E$5</definedName>
    <definedName name="index_tarif">SIG!$I$9</definedName>
    <definedName name="inflation">SIG!$I$10</definedName>
    <definedName name="Intérêts">-IPMT(Taux_Intérêt/12,Numéro_Paiement,Nombre_De_Paiements,Montant_Du_Prêt)</definedName>
    <definedName name="Ligne_EnTête">ROW('[1]Calculateur de prêt'!$12:$12)</definedName>
    <definedName name="Montant_Du_Prêt">'[1]Calculateur de prêt'!$E$3</definedName>
    <definedName name="Nombre_De_Paiements">'[1]Calculateur de prêt'!$E$9</definedName>
    <definedName name="Numéro_Paiement">ROW()-Ligne_EnTête</definedName>
    <definedName name="Paiement_Mensuel">-PMT(Taux_Intérêt/12,Nombre_De_Paiements,Montant_Du_Prêt)</definedName>
    <definedName name="perte_prod">SIG!$I$8</definedName>
    <definedName name="Prêt_Non_Payé">IF(Numéro_Paiement&lt;=Nombre_De_Paiements,1,0)</definedName>
    <definedName name="Solde_Départ">-FV(Taux_Intérêt/12,Numéro_Paiement-1,-Paiement_Mensuel,Montant_Du_Prêt)</definedName>
    <definedName name="Solde_Final">-FV(Taux_Intérêt/12,Numéro_Paiement,-Paiement_Mensuel,Montant_Du_Prêt)</definedName>
    <definedName name="ss">#REF!</definedName>
    <definedName name="taux_actu">SIG!$I$13</definedName>
    <definedName name="Taux_Intérêt">'[1]Calculateur de prêt'!$E$4</definedName>
    <definedName name="Valeurs_Entrées">IF(Montant_Du_Prêt*Taux_Intérêt*Durée_Prêt*Début_Prêt&gt;0,1,0)</definedName>
    <definedName name="_xlnm.Print_Area" localSheetId="1">ENCAISSEMENTS!$A$1:$I$54</definedName>
    <definedName name="_xlnm.Print_Area" localSheetId="0">SIG!$A$1:$W$53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9" i="1" l="1"/>
  <c r="F39" i="1"/>
  <c r="G39" i="1"/>
  <c r="H39" i="1"/>
  <c r="H40" i="1" s="1"/>
  <c r="I39" i="1"/>
  <c r="J39" i="1"/>
  <c r="K39" i="1"/>
  <c r="L39" i="1"/>
  <c r="L40" i="1" s="1"/>
  <c r="M39" i="1"/>
  <c r="N39" i="1"/>
  <c r="O39" i="1"/>
  <c r="P39" i="1"/>
  <c r="P40" i="1" s="1"/>
  <c r="Q39" i="1"/>
  <c r="R39" i="1"/>
  <c r="S39" i="1"/>
  <c r="T39" i="1"/>
  <c r="T40" i="1" s="1"/>
  <c r="U39" i="1"/>
  <c r="V39" i="1"/>
  <c r="W39" i="1"/>
  <c r="D39" i="1"/>
  <c r="G40" i="1"/>
  <c r="I40" i="1"/>
  <c r="J40" i="1"/>
  <c r="K40" i="1"/>
  <c r="M40" i="1"/>
  <c r="N40" i="1"/>
  <c r="O40" i="1"/>
  <c r="Q40" i="1"/>
  <c r="R40" i="1"/>
  <c r="S40" i="1"/>
  <c r="U40" i="1"/>
  <c r="V40" i="1"/>
  <c r="W40" i="1"/>
  <c r="D48" i="1"/>
  <c r="D49" i="1" s="1"/>
  <c r="D50" i="1" s="1"/>
  <c r="E48" i="1"/>
  <c r="E49" i="1" s="1"/>
  <c r="E50" i="1" s="1"/>
  <c r="E9" i="6"/>
  <c r="E4" i="6"/>
  <c r="E6" i="6"/>
  <c r="H22" i="6" l="1"/>
  <c r="D22" i="6"/>
  <c r="G21" i="6"/>
  <c r="C21" i="6"/>
  <c r="F20" i="6"/>
  <c r="B20" i="6"/>
  <c r="E19" i="6"/>
  <c r="H18" i="6"/>
  <c r="D18" i="6"/>
  <c r="G17" i="6"/>
  <c r="C17" i="6"/>
  <c r="F16" i="6"/>
  <c r="B16" i="6"/>
  <c r="E15" i="6"/>
  <c r="H14" i="6"/>
  <c r="D14" i="6"/>
  <c r="G13" i="6"/>
  <c r="C13" i="6"/>
  <c r="E8" i="6"/>
  <c r="D13" i="6"/>
  <c r="G22" i="6"/>
  <c r="C22" i="6"/>
  <c r="F21" i="6"/>
  <c r="B21" i="6"/>
  <c r="E20" i="6"/>
  <c r="H19" i="6"/>
  <c r="D19" i="6"/>
  <c r="G18" i="6"/>
  <c r="C18" i="6"/>
  <c r="F17" i="6"/>
  <c r="B17" i="6"/>
  <c r="E16" i="6"/>
  <c r="H15" i="6"/>
  <c r="D15" i="6"/>
  <c r="G14" i="6"/>
  <c r="C14" i="6"/>
  <c r="F13" i="6"/>
  <c r="B13" i="6"/>
  <c r="F22" i="6"/>
  <c r="B22" i="6"/>
  <c r="E21" i="6"/>
  <c r="H20" i="6"/>
  <c r="D20" i="6"/>
  <c r="G19" i="6"/>
  <c r="C19" i="6"/>
  <c r="F18" i="6"/>
  <c r="B18" i="6"/>
  <c r="E17" i="6"/>
  <c r="H16" i="6"/>
  <c r="D16" i="6"/>
  <c r="G15" i="6"/>
  <c r="C15" i="6"/>
  <c r="F14" i="6"/>
  <c r="B14" i="6"/>
  <c r="E13" i="6"/>
  <c r="E11" i="6"/>
  <c r="E22" i="6"/>
  <c r="H21" i="6"/>
  <c r="D21" i="6"/>
  <c r="G20" i="6"/>
  <c r="C20" i="6"/>
  <c r="F19" i="6"/>
  <c r="B19" i="6"/>
  <c r="E18" i="6"/>
  <c r="H17" i="6"/>
  <c r="D17" i="6"/>
  <c r="G16" i="6"/>
  <c r="C16" i="6"/>
  <c r="F15" i="6"/>
  <c r="B15" i="6"/>
  <c r="E14" i="6"/>
  <c r="H13" i="6"/>
  <c r="E10" i="6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F48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45" i="1" l="1"/>
  <c r="C42" i="1"/>
  <c r="E26" i="1"/>
  <c r="E37" i="1" s="1"/>
  <c r="I26" i="1"/>
  <c r="I37" i="1" s="1"/>
  <c r="M26" i="1"/>
  <c r="M37" i="1" s="1"/>
  <c r="Q26" i="1"/>
  <c r="Q37" i="1" s="1"/>
  <c r="J26" i="1"/>
  <c r="J37" i="1" s="1"/>
  <c r="R26" i="1"/>
  <c r="R37" i="1" s="1"/>
  <c r="G26" i="1"/>
  <c r="G37" i="1" s="1"/>
  <c r="K26" i="1"/>
  <c r="K37" i="1" s="1"/>
  <c r="O26" i="1"/>
  <c r="O37" i="1" s="1"/>
  <c r="S26" i="1"/>
  <c r="S37" i="1" s="1"/>
  <c r="W26" i="1"/>
  <c r="W37" i="1" s="1"/>
  <c r="H26" i="1"/>
  <c r="H37" i="1" s="1"/>
  <c r="L26" i="1"/>
  <c r="L37" i="1" s="1"/>
  <c r="P26" i="1"/>
  <c r="P37" i="1" s="1"/>
  <c r="T26" i="1"/>
  <c r="T37" i="1" s="1"/>
  <c r="D26" i="1"/>
  <c r="D37" i="1" s="1"/>
  <c r="U26" i="1"/>
  <c r="U37" i="1" s="1"/>
  <c r="F26" i="1"/>
  <c r="F37" i="1" s="1"/>
  <c r="N26" i="1"/>
  <c r="N37" i="1" s="1"/>
  <c r="V26" i="1"/>
  <c r="V37" i="1" s="1"/>
  <c r="C14" i="1"/>
  <c r="H5" i="3"/>
  <c r="H6" i="3"/>
  <c r="H7" i="3"/>
  <c r="H8" i="3"/>
  <c r="H9" i="3"/>
  <c r="H10" i="3"/>
  <c r="H11" i="3"/>
  <c r="H12" i="3"/>
  <c r="H4" i="3"/>
  <c r="K45" i="4" l="1"/>
  <c r="F80" i="4"/>
  <c r="H39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41" i="1" s="1"/>
  <c r="AB42" i="1" s="1"/>
  <c r="AB43" i="1" s="1"/>
  <c r="AB44" i="1" s="1"/>
  <c r="AB45" i="1" s="1"/>
  <c r="AB46" i="1" l="1"/>
  <c r="AB47" i="1" s="1"/>
  <c r="AB48" i="1" s="1"/>
  <c r="AB49" i="1" s="1"/>
  <c r="AB50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C13" i="1"/>
  <c r="R22" i="1" l="1"/>
  <c r="P22" i="1"/>
  <c r="O22" i="1"/>
  <c r="Q22" i="1"/>
  <c r="N22" i="1"/>
  <c r="D22" i="1"/>
  <c r="M8" i="1"/>
  <c r="C43" i="1" s="1"/>
  <c r="C8" i="1"/>
  <c r="N8" i="1" l="1"/>
  <c r="M11" i="1"/>
  <c r="E3" i="6" s="1"/>
  <c r="V8" i="1"/>
  <c r="C12" i="1"/>
  <c r="C10" i="1"/>
  <c r="C9" i="1"/>
  <c r="D21" i="1" l="1"/>
  <c r="U52" i="1"/>
  <c r="V52" i="1"/>
  <c r="W52" i="1"/>
  <c r="D35" i="1" l="1"/>
  <c r="G21" i="1"/>
  <c r="K21" i="1"/>
  <c r="O21" i="1"/>
  <c r="S21" i="1"/>
  <c r="E21" i="1"/>
  <c r="H21" i="1"/>
  <c r="T21" i="1"/>
  <c r="F21" i="1"/>
  <c r="J21" i="1"/>
  <c r="N21" i="1"/>
  <c r="R21" i="1"/>
  <c r="V21" i="1"/>
  <c r="V35" i="1" s="1"/>
  <c r="W21" i="1"/>
  <c r="W35" i="1" s="1"/>
  <c r="I21" i="1"/>
  <c r="M21" i="1"/>
  <c r="Q21" i="1"/>
  <c r="U21" i="1"/>
  <c r="U35" i="1" s="1"/>
  <c r="L21" i="1"/>
  <c r="P21" i="1"/>
  <c r="B62" i="1"/>
  <c r="S29" i="1"/>
  <c r="T29" i="1"/>
  <c r="U29" i="1"/>
  <c r="V29" i="1"/>
  <c r="W29" i="1"/>
  <c r="H29" i="1"/>
  <c r="N35" i="1" l="1"/>
  <c r="Q38" i="1"/>
  <c r="K35" i="1"/>
  <c r="N38" i="1"/>
  <c r="E35" i="1"/>
  <c r="H38" i="1"/>
  <c r="Q35" i="1"/>
  <c r="T38" i="1"/>
  <c r="F35" i="1"/>
  <c r="I38" i="1"/>
  <c r="S35" i="1"/>
  <c r="V38" i="1"/>
  <c r="G38" i="1"/>
  <c r="L35" i="1"/>
  <c r="O38" i="1"/>
  <c r="I35" i="1"/>
  <c r="L38" i="1"/>
  <c r="H35" i="1"/>
  <c r="K38" i="1"/>
  <c r="J35" i="1"/>
  <c r="M38" i="1"/>
  <c r="G35" i="1"/>
  <c r="J38" i="1"/>
  <c r="P35" i="1"/>
  <c r="S38" i="1"/>
  <c r="M35" i="1"/>
  <c r="P38" i="1"/>
  <c r="R35" i="1"/>
  <c r="U38" i="1"/>
  <c r="T35" i="1"/>
  <c r="W38" i="1"/>
  <c r="O35" i="1"/>
  <c r="R38" i="1"/>
  <c r="M29" i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E52" i="1" s="1"/>
  <c r="K23" i="1"/>
  <c r="K25" i="1" s="1"/>
  <c r="S23" i="1"/>
  <c r="S25" i="1" s="1"/>
  <c r="U25" i="1" l="1"/>
  <c r="U28" i="1" s="1"/>
  <c r="U31" i="1" s="1"/>
  <c r="U47" i="1" s="1"/>
  <c r="W25" i="1"/>
  <c r="W28" i="1" s="1"/>
  <c r="W31" i="1" s="1"/>
  <c r="W47" i="1" s="1"/>
  <c r="V25" i="1"/>
  <c r="V28" i="1" s="1"/>
  <c r="V31" i="1" s="1"/>
  <c r="V47" i="1" s="1"/>
  <c r="T28" i="1"/>
  <c r="T31" i="1" s="1"/>
  <c r="T47" i="1" s="1"/>
  <c r="T52" i="1"/>
  <c r="S28" i="1"/>
  <c r="S31" i="1" s="1"/>
  <c r="S47" i="1" s="1"/>
  <c r="S52" i="1"/>
  <c r="M28" i="1"/>
  <c r="M52" i="1"/>
  <c r="O28" i="1"/>
  <c r="O52" i="1"/>
  <c r="F28" i="1"/>
  <c r="F52" i="1"/>
  <c r="L28" i="1"/>
  <c r="L52" i="1"/>
  <c r="J28" i="1"/>
  <c r="J52" i="1"/>
  <c r="K28" i="1"/>
  <c r="K52" i="1"/>
  <c r="N28" i="1"/>
  <c r="N52" i="1"/>
  <c r="P28" i="1"/>
  <c r="P52" i="1"/>
  <c r="E28" i="1"/>
  <c r="Q28" i="1"/>
  <c r="Q52" i="1"/>
  <c r="H28" i="1"/>
  <c r="H52" i="1"/>
  <c r="I28" i="1"/>
  <c r="I52" i="1"/>
  <c r="G28" i="1"/>
  <c r="G52" i="1"/>
  <c r="R28" i="1"/>
  <c r="R52" i="1"/>
  <c r="R31" i="1" l="1"/>
  <c r="R47" i="1" s="1"/>
  <c r="Q31" i="1"/>
  <c r="Q47" i="1" s="1"/>
  <c r="P31" i="1"/>
  <c r="P47" i="1" s="1"/>
  <c r="K31" i="1"/>
  <c r="K47" i="1" s="1"/>
  <c r="O31" i="1"/>
  <c r="O47" i="1" s="1"/>
  <c r="G31" i="1"/>
  <c r="G47" i="1" s="1"/>
  <c r="H31" i="1"/>
  <c r="H47" i="1" s="1"/>
  <c r="E31" i="1"/>
  <c r="E47" i="1" s="1"/>
  <c r="N31" i="1"/>
  <c r="N47" i="1" s="1"/>
  <c r="J31" i="1"/>
  <c r="J47" i="1" s="1"/>
  <c r="F31" i="1"/>
  <c r="F47" i="1" s="1"/>
  <c r="M31" i="1"/>
  <c r="M47" i="1" s="1"/>
  <c r="I31" i="1"/>
  <c r="I47" i="1" s="1"/>
  <c r="L31" i="1"/>
  <c r="L47" i="1" s="1"/>
  <c r="D23" i="1" l="1"/>
  <c r="D25" i="1" s="1"/>
  <c r="D52" i="1" s="1"/>
  <c r="D28" i="1" l="1"/>
  <c r="D31" i="1" s="1"/>
  <c r="D47" i="1" s="1"/>
  <c r="C57" i="1" s="1"/>
  <c r="D33" i="1" l="1"/>
  <c r="D32" i="1"/>
  <c r="E33" i="1" s="1"/>
  <c r="D34" i="1" l="1"/>
  <c r="E34" i="1"/>
  <c r="E41" i="1" s="1"/>
  <c r="E32" i="1"/>
  <c r="F33" i="1" s="1"/>
  <c r="E43" i="1" l="1"/>
  <c r="E44" i="1"/>
  <c r="E42" i="1"/>
  <c r="D41" i="1"/>
  <c r="F34" i="1"/>
  <c r="F32" i="1"/>
  <c r="G33" i="1" s="1"/>
  <c r="D43" i="1" l="1"/>
  <c r="D44" i="1"/>
  <c r="D45" i="1" s="1"/>
  <c r="E45" i="1" s="1"/>
  <c r="D42" i="1"/>
  <c r="F41" i="1"/>
  <c r="F49" i="1"/>
  <c r="F50" i="1" s="1"/>
  <c r="G32" i="1"/>
  <c r="H33" i="1" s="1"/>
  <c r="F42" i="1" l="1"/>
  <c r="F43" i="1"/>
  <c r="F44" i="1"/>
  <c r="G34" i="1"/>
  <c r="H32" i="1"/>
  <c r="I33" i="1" s="1"/>
  <c r="G48" i="1" l="1"/>
  <c r="F45" i="1"/>
  <c r="G41" i="1"/>
  <c r="H34" i="1"/>
  <c r="H48" i="1" s="1"/>
  <c r="G49" i="1"/>
  <c r="G50" i="1" s="1"/>
  <c r="I32" i="1"/>
  <c r="J33" i="1" s="1"/>
  <c r="G42" i="1" l="1"/>
  <c r="G43" i="1"/>
  <c r="H41" i="1"/>
  <c r="G44" i="1"/>
  <c r="G45" i="1" s="1"/>
  <c r="I34" i="1"/>
  <c r="I48" i="1" s="1"/>
  <c r="H49" i="1"/>
  <c r="H50" i="1" s="1"/>
  <c r="J32" i="1"/>
  <c r="K33" i="1" s="1"/>
  <c r="H42" i="1" l="1"/>
  <c r="H43" i="1"/>
  <c r="I41" i="1"/>
  <c r="H44" i="1"/>
  <c r="H45" i="1" s="1"/>
  <c r="J34" i="1"/>
  <c r="I49" i="1"/>
  <c r="I50" i="1" s="1"/>
  <c r="K32" i="1"/>
  <c r="L33" i="1" s="1"/>
  <c r="I42" i="1" l="1"/>
  <c r="I43" i="1"/>
  <c r="J41" i="1"/>
  <c r="J48" i="1"/>
  <c r="I44" i="1"/>
  <c r="I45" i="1" s="1"/>
  <c r="K34" i="1"/>
  <c r="L34" i="1"/>
  <c r="L48" i="1" s="1"/>
  <c r="L32" i="1"/>
  <c r="M33" i="1" s="1"/>
  <c r="J42" i="1" l="1"/>
  <c r="J43" i="1"/>
  <c r="J44" i="1"/>
  <c r="J45" i="1" s="1"/>
  <c r="K41" i="1"/>
  <c r="K43" i="1" s="1"/>
  <c r="K48" i="1"/>
  <c r="K49" i="1" s="1"/>
  <c r="K50" i="1" s="1"/>
  <c r="J49" i="1"/>
  <c r="J50" i="1" s="1"/>
  <c r="L41" i="1"/>
  <c r="M34" i="1"/>
  <c r="L49" i="1"/>
  <c r="L50" i="1" s="1"/>
  <c r="M32" i="1"/>
  <c r="N33" i="1" s="1"/>
  <c r="L42" i="1" l="1"/>
  <c r="L43" i="1"/>
  <c r="K44" i="1"/>
  <c r="K45" i="1" s="1"/>
  <c r="K42" i="1"/>
  <c r="M41" i="1"/>
  <c r="M48" i="1"/>
  <c r="M49" i="1" s="1"/>
  <c r="M50" i="1" s="1"/>
  <c r="L44" i="1"/>
  <c r="N34" i="1"/>
  <c r="N32" i="1"/>
  <c r="O33" i="1" s="1"/>
  <c r="M42" i="1" l="1"/>
  <c r="M43" i="1"/>
  <c r="M44" i="1"/>
  <c r="N41" i="1"/>
  <c r="N48" i="1"/>
  <c r="L45" i="1"/>
  <c r="O34" i="1"/>
  <c r="O32" i="1"/>
  <c r="P33" i="1" s="1"/>
  <c r="N42" i="1" l="1"/>
  <c r="N43" i="1"/>
  <c r="N44" i="1"/>
  <c r="M45" i="1"/>
  <c r="O41" i="1"/>
  <c r="O48" i="1"/>
  <c r="O49" i="1" s="1"/>
  <c r="O50" i="1" s="1"/>
  <c r="N49" i="1"/>
  <c r="N50" i="1" s="1"/>
  <c r="P34" i="1"/>
  <c r="P48" i="1" s="1"/>
  <c r="P32" i="1"/>
  <c r="Q33" i="1" s="1"/>
  <c r="O42" i="1" l="1"/>
  <c r="O43" i="1"/>
  <c r="N45" i="1"/>
  <c r="O44" i="1"/>
  <c r="P41" i="1"/>
  <c r="Q34" i="1"/>
  <c r="Q48" i="1" s="1"/>
  <c r="P49" i="1"/>
  <c r="P50" i="1" s="1"/>
  <c r="Q32" i="1"/>
  <c r="R33" i="1" s="1"/>
  <c r="P42" i="1" l="1"/>
  <c r="P43" i="1"/>
  <c r="O45" i="1"/>
  <c r="Q41" i="1"/>
  <c r="P44" i="1"/>
  <c r="R34" i="1"/>
  <c r="R48" i="1" s="1"/>
  <c r="Q49" i="1"/>
  <c r="Q50" i="1" s="1"/>
  <c r="R32" i="1"/>
  <c r="S33" i="1" s="1"/>
  <c r="Q42" i="1" l="1"/>
  <c r="Q43" i="1"/>
  <c r="P45" i="1"/>
  <c r="R41" i="1"/>
  <c r="Q44" i="1"/>
  <c r="S34" i="1"/>
  <c r="S48" i="1" s="1"/>
  <c r="R49" i="1"/>
  <c r="R50" i="1" s="1"/>
  <c r="S32" i="1"/>
  <c r="T33" i="1" s="1"/>
  <c r="R42" i="1" l="1"/>
  <c r="R43" i="1"/>
  <c r="Q45" i="1"/>
  <c r="R44" i="1"/>
  <c r="S41" i="1"/>
  <c r="T34" i="1"/>
  <c r="S49" i="1"/>
  <c r="S50" i="1" s="1"/>
  <c r="T32" i="1"/>
  <c r="U33" i="1" s="1"/>
  <c r="S42" i="1" l="1"/>
  <c r="S43" i="1"/>
  <c r="R45" i="1"/>
  <c r="T41" i="1"/>
  <c r="T48" i="1"/>
  <c r="T49" i="1" s="1"/>
  <c r="T50" i="1" s="1"/>
  <c r="S44" i="1"/>
  <c r="U34" i="1"/>
  <c r="U48" i="1" s="1"/>
  <c r="U32" i="1"/>
  <c r="V33" i="1" s="1"/>
  <c r="T42" i="1" l="1"/>
  <c r="T43" i="1"/>
  <c r="S45" i="1"/>
  <c r="T44" i="1"/>
  <c r="U41" i="1"/>
  <c r="V34" i="1"/>
  <c r="U49" i="1"/>
  <c r="U50" i="1" s="1"/>
  <c r="V32" i="1"/>
  <c r="W33" i="1" s="1"/>
  <c r="U42" i="1" l="1"/>
  <c r="U43" i="1"/>
  <c r="T45" i="1"/>
  <c r="V41" i="1"/>
  <c r="V48" i="1"/>
  <c r="U44" i="1"/>
  <c r="W34" i="1"/>
  <c r="C59" i="1" s="1"/>
  <c r="W32" i="1"/>
  <c r="V42" i="1" l="1"/>
  <c r="V43" i="1"/>
  <c r="U45" i="1"/>
  <c r="V44" i="1"/>
  <c r="W48" i="1"/>
  <c r="V49" i="1"/>
  <c r="V50" i="1" s="1"/>
  <c r="W41" i="1"/>
  <c r="W42" i="1" l="1"/>
  <c r="C58" i="1" s="1"/>
  <c r="D58" i="1" s="1"/>
  <c r="W43" i="1"/>
  <c r="V45" i="1"/>
  <c r="W44" i="1"/>
  <c r="W49" i="1"/>
  <c r="W50" i="1" s="1"/>
  <c r="C60" i="1" s="1"/>
  <c r="W45" i="1" l="1"/>
  <c r="C56" i="1" s="1"/>
  <c r="D56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6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8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<sst xmlns="http://schemas.openxmlformats.org/spreadsheetml/2006/main" count="276" uniqueCount="229">
  <si>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</si>
  <si>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</si>
  <si>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</si>
  <si>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</si>
  <si>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</si>
  <si>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</si>
  <si>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</si>
  <si>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</si>
  <si>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</si>
  <si>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</si>
  <si>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</si>
  <si>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</si>
  <si>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</si>
  <si>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</si>
  <si>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</si>
  <si>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</si>
  <si>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</si>
  <si>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</si>
  <si>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</si>
  <si>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</si>
  <si>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</si>
  <si>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</si>
  <si>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</si>
  <si>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</si>
  <si>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</si>
  <si>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</si>
  <si>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</si>
  <si>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</si>
  <si>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</si>
  <si>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</si>
  <si>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</si>
  <si>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</si>
  <si>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</si>
  <si>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</si>
  <si>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</si>
  <si>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</si>
  <si>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</si>
  <si>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</si>
  <si>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</si>
  <si>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</si>
  <si>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</si>
  <si>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</si>
  <si>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</si>
  <si>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</si>
  <si>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</si>
  <si>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</si>
  <si>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</si>
  <si>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</si>
  <si>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</si>
  <si>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</si>
  <si>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</si>
  <si>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</si>
  <si>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</si>
  <si>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</si>
  <si>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</si>
  <si>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</si>
  <si>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</si>
  <si>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</si>
  <si>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</si>
  <si>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</si>
  <si>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</si>
  <si>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</si>
  <si>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</si>
  <si>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</si>
  <si>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</si>
  <si>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</si>
  <si>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</si>
  <si>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</si>
  <si>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</si>
  <si>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</si>
  <si>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</si>
  <si>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</si>
  <si>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</si>
  <si>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</si>
  <si>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</si>
  <si>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</si>
  <si>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</si>
  <si>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</si>
  <si>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</si>
  <si>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</si>
  <si>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</si>
  <si>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</si>
  <si>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</si>
  <si>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</si>
  <si>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</si>
  <si>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</si>
  <si>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</si>
  <si>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</si>
  <si>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</si>
  <si>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</si>
  <si>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</si>
  <si>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</si>
  <si>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</si>
  <si>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</si>
  <si>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</si>
  <si>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</si>
  <si>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</si>
  <si>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</si>
  <si>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</si>
  <si>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</si>
  <si>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</si>
  <si>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</si>
  <si>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</si>
  <si>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</si>
  <si>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</si>
  <si>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</si>
  <si>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</si>
  <si>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</si>
  <si>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</si>
  <si>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</si>
  <si>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</si>
  <si>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</si>
  <si>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</si>
  <si>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</si>
  <si>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</si>
  <si>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</si>
  <si>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</si>
  <si>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</si>
  <si>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</si>
  <si>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</si>
  <si>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</si>
  <si>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</si>
  <si>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</si>
  <si>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</si>
  <si>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</si>
  <si>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</si>
  <si>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</si>
  <si>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</si>
  <si>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</si>
  <si>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</si>
  <si>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</si>
  <si>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</si>
  <si>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</si>
  <si>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</si>
  <si>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</si>
  <si>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</si>
  <si>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</si>
  <si>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</si>
  <si>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</si>
  <si>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</si>
  <si>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</si>
  <si>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</si>
  <si>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</si>
  <si>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</si>
  <si>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</si>
  <si>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</si>
  <si>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</si>
  <si>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</si>
  <si>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</si>
  <si>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</si>
  <si>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</si>
  <si>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</si>
  <si>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</si>
  <si>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</si>
  <si>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</si>
  <si>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</si>
  <si>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</si>
  <si>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</si>
  <si>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</si>
  <si>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</si>
  <si>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</si>
  <si>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</si>
  <si>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</si>
  <si>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</si>
  <si>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</si>
  <si>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</si>
  <si>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</si>
  <si>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</si>
  <si>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</si>
  <si>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</si>
  <si>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</si>
  <si>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</si>
  <si>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</si>
  <si>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</si>
  <si>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</si>
  <si>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</si>
  <si>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</si>
  <si>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</si>
  <si>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</si>
  <si>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</si>
  <si>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</si>
  <si>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</si>
  <si>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</si>
  <si>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</si>
  <si>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</si>
  <si>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</si>
  <si>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</si>
  <si>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</si>
  <si>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</si>
  <si>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</si>
  <si>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</si>
  <si>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</si>
  <si>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</si>
  <si>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</si>
  <si>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</si>
  <si>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</si>
  <si>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</si>
  <si>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</si>
  <si>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</si>
  <si>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</si>
  <si>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</si>
  <si>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</si>
  <si>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</si>
  <si>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</si>
  <si>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</si>
  <si>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</si>
  <si>
    <t>Indemnité EP</t>
  </si>
  <si>
    <t>Indemnité JPM</t>
  </si>
  <si>
    <t>Reste à amortir</t>
  </si>
  <si>
    <t>Somme chiffre affaire 3 ans</t>
  </si>
  <si>
    <t>Remboursement capital emprunt</t>
  </si>
  <si>
    <t>Calculateur de prêt simple</t>
  </si>
  <si>
    <t>Entrez des valeurs</t>
  </si>
  <si>
    <t>Montant du prêt</t>
  </si>
  <si>
    <t>Taux d’intérêt annuel</t>
  </si>
  <si>
    <t>Durée du prêt en années</t>
  </si>
  <si>
    <t>Date de début du prêt</t>
  </si>
  <si>
    <t>Paiement mensuel</t>
  </si>
  <si>
    <t>Nombre de paiements</t>
  </si>
  <si>
    <t>Total des intérêts</t>
  </si>
  <si>
    <t>Coût total du prêt</t>
  </si>
  <si>
    <t>N°</t>
  </si>
  <si>
    <t>Paiement
Date</t>
  </si>
  <si>
    <t>Solde 
Départ</t>
  </si>
  <si>
    <t>Paiement</t>
  </si>
  <si>
    <t>Capital</t>
  </si>
  <si>
    <t>Intérêts</t>
  </si>
  <si>
    <t>Solde 
Final</t>
  </si>
  <si>
    <t>Prêt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</si>
</sst>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  <numFmt numFmtId="177" formatCode="#,##0\ _€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hair">
        <color theme="1" tint="0.499984740745262"/>
      </top>
      <bottom/>
      <diagonal/>
    </border>
    <border>
      <left/>
      <right style="hair">
        <color rgb="FF7F7F7F"/>
      </right>
      <top/>
      <bottom/>
      <diagonal/>
    </border>
    <border>
      <left style="hair">
        <color rgb="FF7F7F7F"/>
      </left>
      <right style="hair">
        <color rgb="FF7F7F7F"/>
      </right>
      <top style="hair">
        <color rgb="FF7F7F7F"/>
      </top>
      <bottom style="hair">
        <color rgb="FF7F7F7F"/>
      </bottom>
      <diagonal/>
    </border>
    <border>
      <left/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2" fillId="0" borderId="0"/>
    <xf numFmtId="0" fontId="3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3" applyNumberFormat="0" applyFill="0" applyAlignment="0" applyProtection="0"/>
    <xf numFmtId="0" fontId="44" fillId="0" borderId="24" applyNumberFormat="0" applyFill="0" applyAlignment="0" applyProtection="0"/>
    <xf numFmtId="0" fontId="45" fillId="0" borderId="25" applyNumberFormat="0" applyFill="0" applyAlignment="0" applyProtection="0"/>
    <xf numFmtId="14" fontId="7" fillId="0" borderId="0" applyFont="0" applyFill="0" applyBorder="0">
      <alignment horizontal="right"/>
    </xf>
  </cellStyleXfs>
  <cellXfs count="211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1" fillId="0" borderId="0" xfId="0" applyFont="1"/>
    <xf numFmtId="0" fontId="7" fillId="0" borderId="0" xfId="0" applyFont="1" applyAlignment="1">
      <alignment horizontal="right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0" fillId="0" borderId="0" xfId="0" applyAlignment="1"/>
    <xf numFmtId="0" fontId="24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0" fillId="10" borderId="1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19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3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3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3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6" fillId="8" borderId="1" xfId="0" applyNumberFormat="1" applyFont="1" applyFill="1" applyBorder="1" applyAlignment="1" applyProtection="1">
      <alignment horizontal="center" wrapText="1"/>
    </xf>
    <xf numFmtId="0" fontId="27" fillId="0" borderId="0" xfId="0" applyFont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0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0" fillId="13" borderId="18" xfId="0" applyFont="1" applyFill="1" applyBorder="1" applyAlignment="1">
      <alignment horizontal="left" vertical="center"/>
    </xf>
    <xf numFmtId="0" fontId="20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8" fillId="0" borderId="0" xfId="0" applyFont="1" applyFill="1" applyBorder="1" applyAlignment="1"/>
    <xf numFmtId="0" fontId="20" fillId="8" borderId="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/>
    </xf>
    <xf numFmtId="0" fontId="32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4" fillId="0" borderId="0" xfId="0" applyFont="1" applyFill="1" applyAlignment="1"/>
    <xf numFmtId="0" fontId="28" fillId="0" borderId="0" xfId="0" applyFont="1" applyFill="1" applyAlignment="1"/>
    <xf numFmtId="0" fontId="19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1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33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0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28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19" fillId="10" borderId="20" xfId="0" applyFont="1" applyFill="1" applyBorder="1" applyAlignment="1">
      <alignment horizontal="center"/>
    </xf>
    <xf numFmtId="167" fontId="28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6" fillId="8" borderId="1" xfId="1" applyNumberFormat="1" applyFont="1" applyFill="1" applyBorder="1" applyAlignment="1" applyProtection="1">
      <alignment horizontal="center" wrapText="1"/>
    </xf>
    <xf numFmtId="1" fontId="27" fillId="0" borderId="0" xfId="0" applyNumberFormat="1" applyFont="1" applyAlignment="1" applyProtection="1">
      <alignment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5" fillId="8" borderId="1" xfId="0" applyFont="1" applyFill="1" applyBorder="1" applyAlignment="1" applyProtection="1">
      <alignment horizontal="left" wrapText="1"/>
    </xf>
    <xf numFmtId="0" fontId="25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18" fillId="9" borderId="11" xfId="0" applyFont="1" applyFill="1" applyBorder="1" applyAlignment="1">
      <alignment horizontal="center"/>
    </xf>
    <xf numFmtId="0" fontId="18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3" fillId="0" borderId="21" xfId="38" applyBorder="1" applyAlignment="1">
      <alignment horizontal="left" vertical="center" wrapText="1"/>
    </xf>
    <xf numFmtId="0" fontId="33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0" fontId="46" fillId="0" borderId="9" xfId="0" applyFont="1" applyBorder="1" applyAlignment="1" applyProtection="1">
      <alignment horizontal="left" wrapText="1"/>
    </xf>
    <xf numFmtId="0" fontId="47" fillId="0" borderId="9" xfId="0" applyFont="1" applyBorder="1" applyAlignment="1" applyProtection="1">
      <alignment horizontal="left" wrapText="1"/>
    </xf>
    <xf numFmtId="0" fontId="47" fillId="0" borderId="0" xfId="0" applyFont="1" applyBorder="1" applyAlignment="1" applyProtection="1">
      <alignment wrapText="1"/>
    </xf>
    <xf numFmtId="0" fontId="47" fillId="0" borderId="9" xfId="0" applyFont="1" applyBorder="1" applyAlignment="1" applyProtection="1">
      <alignment horizontal="left" vertical="top" wrapText="1"/>
    </xf>
    <xf numFmtId="0" fontId="47" fillId="0" borderId="9" xfId="0" applyFont="1" applyBorder="1" applyAlignment="1" applyProtection="1">
      <alignment horizontal="left" vertical="top" wrapText="1"/>
    </xf>
    <xf numFmtId="0" fontId="42" fillId="0" borderId="0" xfId="40" applyFill="1" applyAlignment="1">
      <alignment horizontal="left"/>
    </xf>
    <xf numFmtId="0" fontId="42" fillId="0" borderId="0" xfId="40" applyAlignment="1">
      <alignment horizontal="left"/>
    </xf>
    <xf numFmtId="0" fontId="43" fillId="0" borderId="26" xfId="41" applyBorder="1" applyAlignment="1">
      <alignment horizontal="right" indent="1"/>
    </xf>
    <xf numFmtId="0" fontId="0" fillId="0" borderId="0" xfId="0" applyAlignment="1">
      <alignment horizontal="right"/>
    </xf>
    <xf numFmtId="0" fontId="0" fillId="0" borderId="24" xfId="42" applyFont="1" applyAlignment="1">
      <alignment horizontal="left" indent="5"/>
    </xf>
    <xf numFmtId="0" fontId="0" fillId="0" borderId="27" xfId="42" applyFont="1" applyBorder="1" applyAlignment="1">
      <alignment horizontal="left" indent="5"/>
    </xf>
    <xf numFmtId="44" fontId="0" fillId="0" borderId="28" xfId="39" applyFont="1" applyBorder="1" applyAlignment="1">
      <alignment horizontal="right"/>
    </xf>
    <xf numFmtId="0" fontId="44" fillId="0" borderId="24" xfId="42" applyAlignment="1">
      <alignment horizontal="left" indent="5"/>
    </xf>
    <xf numFmtId="0" fontId="44" fillId="0" borderId="27" xfId="42" applyBorder="1" applyAlignment="1">
      <alignment horizontal="left" indent="5"/>
    </xf>
    <xf numFmtId="9" fontId="0" fillId="0" borderId="28" xfId="1" applyFont="1" applyBorder="1" applyAlignment="1">
      <alignment horizontal="right"/>
    </xf>
    <xf numFmtId="43" fontId="0" fillId="0" borderId="28" xfId="19" applyFont="1" applyBorder="1" applyAlignment="1">
      <alignment horizontal="right"/>
    </xf>
    <xf numFmtId="14" fontId="0" fillId="0" borderId="28" xfId="44" applyFont="1" applyBorder="1">
      <alignment horizontal="right"/>
    </xf>
    <xf numFmtId="0" fontId="0" fillId="0" borderId="24" xfId="42" applyFont="1" applyAlignment="1">
      <alignment horizontal="left" indent="5"/>
    </xf>
    <xf numFmtId="0" fontId="44" fillId="0" borderId="29" xfId="42" applyBorder="1" applyAlignment="1">
      <alignment horizontal="left" indent="5"/>
    </xf>
    <xf numFmtId="44" fontId="0" fillId="13" borderId="30" xfId="39" applyFont="1" applyFill="1" applyBorder="1" applyAlignment="1">
      <alignment horizontal="right"/>
    </xf>
    <xf numFmtId="0" fontId="0" fillId="0" borderId="25" xfId="43" applyFont="1" applyAlignment="1">
      <alignment horizontal="center" wrapText="1"/>
    </xf>
    <xf numFmtId="14" fontId="0" fillId="0" borderId="0" xfId="44" applyFont="1">
      <alignment horizontal="right"/>
    </xf>
    <xf numFmtId="44" fontId="0" fillId="0" borderId="0" xfId="39" applyFont="1" applyAlignment="1">
      <alignment horizontal="right"/>
    </xf>
    <xf numFmtId="165" fontId="0" fillId="13" borderId="30" xfId="19" applyNumberFormat="1" applyFont="1" applyFill="1" applyBorder="1" applyAlignment="1">
      <alignment horizontal="right"/>
    </xf>
    <xf numFmtId="165" fontId="0" fillId="0" borderId="0" xfId="19" applyNumberFormat="1" applyFont="1" applyAlignment="1">
      <alignment horizontal="right"/>
    </xf>
    <xf numFmtId="177" fontId="37" fillId="0" borderId="1" xfId="39" applyNumberFormat="1" applyFont="1" applyBorder="1" applyAlignment="1">
      <alignment horizontal="right"/>
    </xf>
    <xf numFmtId="177" fontId="37" fillId="0" borderId="1" xfId="0" applyNumberFormat="1" applyFont="1" applyBorder="1" applyAlignment="1" applyProtection="1">
      <alignment horizontal="right" wrapText="1"/>
    </xf>
  </cellXfs>
  <cellStyles count="45">
    <cellStyle name="Active" xfId="3"/>
    <cellStyle name="Date" xfId="44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Monétaire" xfId="39" builtinId="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  <cellStyle name="Titre" xfId="40" builtinId="15"/>
    <cellStyle name="Titre 1" xfId="41" builtinId="16"/>
    <cellStyle name="Titre 2" xfId="42" builtinId="17"/>
    <cellStyle name="Titre 3" xfId="43" builtinId="18"/>
  </cellStyles>
  <dxfs count="22"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 style="thin">
          <color indexed="20"/>
        </left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/>
        <top/>
        <bottom style="thin">
          <color indexed="20"/>
        </bottom>
      </border>
    </dxf>
    <dxf>
      <border>
        <left/>
        <right/>
        <top/>
        <bottom/>
      </border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border>
        <left/>
        <right style="thin">
          <color indexed="20"/>
        </right>
        <top/>
        <bottom style="thin">
          <color indexed="20"/>
        </bottom>
      </border>
    </dxf>
    <dxf>
      <border>
        <left/>
        <right/>
        <top/>
        <bottom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f16400462_win32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eur de prêt"/>
    </sheetNames>
    <sheetDataSet>
      <sheetData sheetId="0" refreshError="1">
        <row r="3">
          <cell r="E3">
            <v>10000</v>
          </cell>
        </row>
        <row r="4">
          <cell r="E4">
            <v>0.01</v>
          </cell>
        </row>
        <row r="5">
          <cell r="E5">
            <v>10</v>
          </cell>
        </row>
        <row r="6">
          <cell r="E6">
            <v>44139</v>
          </cell>
        </row>
        <row r="9">
          <cell r="E9">
            <v>10</v>
          </cell>
        </row>
        <row r="12">
          <cell r="B12" t="str">
            <v>N°</v>
          </cell>
          <cell r="C12" t="str">
            <v>Paiement
Date</v>
          </cell>
          <cell r="D12" t="str">
            <v>Solde 
Départ</v>
          </cell>
          <cell r="E12" t="str">
            <v>Paiement</v>
          </cell>
          <cell r="F12" t="str">
            <v>Capital</v>
          </cell>
          <cell r="G12" t="str">
            <v>Intérêts</v>
          </cell>
          <cell r="H12" t="str">
            <v>Solde 
Final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7"/>
  <sheetViews>
    <sheetView showGridLines="0" tabSelected="1" topLeftCell="A16" zoomScale="80" zoomScaleNormal="80" workbookViewId="0">
      <pane xSplit="2" topLeftCell="C1" activePane="topRight" state="frozen"/>
      <selection activeCell="A16" sqref="A16"/>
      <selection pane="topRight" activeCell="M40" sqref="M40"/>
    </sheetView>
  </sheetViews>
  <sheetFormatPr baseColWidth="10" defaultColWidth="11.5546875" defaultRowHeight="16.95" customHeight="1" x14ac:dyDescent="0.3"/>
  <cols>
    <col min="1" max="1" width="23.5546875" style="41" customWidth="1"/>
    <col min="2" max="2" width="16.5546875" style="41" customWidth="1"/>
    <col min="3" max="3" width="13.33203125" style="41" customWidth="1"/>
    <col min="4" max="4" width="11.109375" style="41" customWidth="1"/>
    <col min="5" max="6" width="12.6640625" style="41" customWidth="1"/>
    <col min="7" max="7" width="10.88671875" style="41" customWidth="1"/>
    <col min="8" max="23" width="12.6640625" style="41" customWidth="1"/>
    <col min="24" max="25" width="11.5546875" style="41"/>
    <col min="26" max="26" width="14.6640625" style="41" customWidth="1"/>
    <col min="27" max="27" width="11.5546875" style="110"/>
    <col min="28" max="32" width="11.5546875" style="110" customWidth="1"/>
    <col min="33" max="35" width="11.5546875" style="110"/>
    <col min="36" max="16384" width="11.5546875" style="41"/>
  </cols>
  <sheetData>
    <row r="1" spans="1:39" s="40" customFormat="1" ht="16.95" customHeight="1" x14ac:dyDescent="0.4">
      <c r="A1" s="175"/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Y1" s="41"/>
      <c r="Z1" s="41"/>
      <c r="AA1" s="110"/>
      <c r="AC1" s="111"/>
      <c r="AD1" s="112">
        <v>1</v>
      </c>
      <c r="AE1" s="110"/>
      <c r="AF1" s="110"/>
      <c r="AG1" s="110"/>
      <c r="AH1" s="110"/>
      <c r="AI1" s="110"/>
      <c r="AJ1" s="41"/>
      <c r="AK1" s="41"/>
      <c r="AL1" s="41"/>
      <c r="AM1" s="41"/>
    </row>
    <row r="2" spans="1:39" ht="16.95" customHeigh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0">
        <f t="shared" ref="AB2:AB10" si="0">AB3-20</f>
        <v>200</v>
      </c>
      <c r="AC2" s="110">
        <v>8</v>
      </c>
      <c r="AD2" s="112">
        <v>1.01</v>
      </c>
      <c r="AE2" s="110" t="s">
        <v>81</v>
      </c>
      <c r="AF2" s="112">
        <v>0.05</v>
      </c>
    </row>
    <row r="3" spans="1:39" ht="16.95" customHeight="1" x14ac:dyDescent="0.3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0">
        <f t="shared" si="0"/>
        <v>220</v>
      </c>
      <c r="AC3" s="110">
        <v>9</v>
      </c>
      <c r="AD3" s="112"/>
      <c r="AE3" s="110" t="s">
        <v>80</v>
      </c>
      <c r="AF3" s="112"/>
    </row>
    <row r="4" spans="1:39" ht="16.95" customHeight="1" x14ac:dyDescent="0.3">
      <c r="A4" s="41" t="s">
        <v>79</v>
      </c>
      <c r="B4" s="78" t="s">
        <v>81</v>
      </c>
      <c r="J4" s="49"/>
      <c r="AB4" s="110">
        <f t="shared" si="0"/>
        <v>240</v>
      </c>
      <c r="AC4" s="110">
        <v>10</v>
      </c>
      <c r="AD4" s="112"/>
      <c r="AF4" s="112"/>
    </row>
    <row r="5" spans="1:39" ht="16.95" customHeight="1" x14ac:dyDescent="0.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0">
        <f t="shared" si="0"/>
        <v>260</v>
      </c>
      <c r="AC5" s="110">
        <v>11</v>
      </c>
      <c r="AD5" s="112">
        <v>1.02</v>
      </c>
      <c r="AF5" s="112">
        <f>AF2+5%</f>
        <v>0.1</v>
      </c>
    </row>
    <row r="6" spans="1:39" s="54" customFormat="1" ht="16.95" customHeight="1" x14ac:dyDescent="0.3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4" t="s">
        <v>0</v>
      </c>
      <c r="L6" s="164"/>
      <c r="M6" s="164"/>
      <c r="N6" s="164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0"/>
      <c r="AB6" s="110">
        <f t="shared" si="0"/>
        <v>280</v>
      </c>
      <c r="AC6" s="110">
        <v>12</v>
      </c>
      <c r="AD6" s="113">
        <v>1.03</v>
      </c>
      <c r="AE6" s="110"/>
      <c r="AF6" s="112">
        <f t="shared" ref="AF6:AF14" si="1">AF5+5%</f>
        <v>0.15000000000000002</v>
      </c>
      <c r="AG6" s="110"/>
      <c r="AH6" s="110"/>
      <c r="AI6" s="110"/>
      <c r="AJ6" s="41"/>
      <c r="AK6" s="41"/>
      <c r="AL6" s="41"/>
      <c r="AM6" s="41"/>
    </row>
    <row r="7" spans="1:39" ht="16.95" customHeight="1" x14ac:dyDescent="0.3">
      <c r="AB7" s="110">
        <f t="shared" si="0"/>
        <v>300</v>
      </c>
      <c r="AC7" s="110">
        <v>13</v>
      </c>
      <c r="AD7" s="113">
        <f>1%+AD6</f>
        <v>1.04</v>
      </c>
      <c r="AF7" s="112">
        <f t="shared" si="1"/>
        <v>0.2</v>
      </c>
    </row>
    <row r="8" spans="1:39" s="56" customFormat="1" ht="14.4" x14ac:dyDescent="0.3">
      <c r="A8" s="161" t="s">
        <v>23</v>
      </c>
      <c r="B8" s="162"/>
      <c r="C8" s="55">
        <f>ENCAISSEMENTS!C39</f>
        <v>200</v>
      </c>
      <c r="F8" s="161" t="s">
        <v>42</v>
      </c>
      <c r="G8" s="163"/>
      <c r="H8" s="162"/>
      <c r="I8" s="83">
        <v>5.0000000000000001E-3</v>
      </c>
      <c r="K8" s="161" t="s">
        <v>173</v>
      </c>
      <c r="L8" s="162"/>
      <c r="M8" s="57">
        <f>M9*M10</f>
        <v>13000</v>
      </c>
      <c r="N8" s="58">
        <f>M8/C11</f>
        <v>0.3117505995203837</v>
      </c>
      <c r="O8" s="161" t="s">
        <v>87</v>
      </c>
      <c r="P8" s="162"/>
      <c r="Q8" s="79"/>
      <c r="R8" s="41"/>
      <c r="S8" s="161" t="s">
        <v>192</v>
      </c>
      <c r="T8" s="163"/>
      <c r="U8" s="162"/>
      <c r="V8" s="152">
        <f>(M8+M14)/C11</f>
        <v>0.3117505995203837</v>
      </c>
      <c r="W8" s="41"/>
      <c r="X8" s="41"/>
      <c r="Y8" s="41"/>
      <c r="Z8" s="41"/>
      <c r="AA8" s="110"/>
      <c r="AB8" s="110">
        <f t="shared" si="0"/>
        <v>320</v>
      </c>
      <c r="AC8" s="110">
        <v>14</v>
      </c>
      <c r="AD8" s="113">
        <f t="shared" ref="AD8:AD19" si="2">1%+AD7</f>
        <v>1.05</v>
      </c>
      <c r="AE8" s="114"/>
      <c r="AF8" s="112">
        <f t="shared" si="1"/>
        <v>0.25</v>
      </c>
      <c r="AG8" s="114"/>
      <c r="AH8" s="114"/>
      <c r="AI8" s="114"/>
    </row>
    <row r="9" spans="1:39" ht="14.4" x14ac:dyDescent="0.3">
      <c r="A9" s="159" t="s">
        <v>24</v>
      </c>
      <c r="B9" s="160"/>
      <c r="C9" s="59">
        <f>ENCAISSEMENTS!D39</f>
        <v>36</v>
      </c>
      <c r="F9" s="161" t="s">
        <v>3</v>
      </c>
      <c r="G9" s="163"/>
      <c r="H9" s="162"/>
      <c r="I9" s="83">
        <v>5.0000000000000001E-3</v>
      </c>
      <c r="K9" s="159" t="s">
        <v>96</v>
      </c>
      <c r="L9" s="160"/>
      <c r="M9" s="78">
        <v>260</v>
      </c>
      <c r="O9" s="161" t="s">
        <v>168</v>
      </c>
      <c r="P9" s="162"/>
      <c r="Q9" s="80"/>
      <c r="AB9" s="110">
        <f t="shared" si="0"/>
        <v>340</v>
      </c>
      <c r="AC9" s="110">
        <v>15</v>
      </c>
      <c r="AD9" s="113">
        <f t="shared" si="2"/>
        <v>1.06</v>
      </c>
      <c r="AF9" s="112">
        <f t="shared" si="1"/>
        <v>0.3</v>
      </c>
    </row>
    <row r="10" spans="1:39" ht="14.4" x14ac:dyDescent="0.3">
      <c r="A10" s="161" t="s">
        <v>26</v>
      </c>
      <c r="B10" s="162"/>
      <c r="C10" s="60">
        <f>ENCAISSEMENTS!E39</f>
        <v>44900</v>
      </c>
      <c r="F10" s="161" t="s">
        <v>4</v>
      </c>
      <c r="G10" s="163"/>
      <c r="H10" s="162"/>
      <c r="I10" s="80">
        <v>0.01</v>
      </c>
      <c r="K10" s="159" t="s">
        <v>97</v>
      </c>
      <c r="L10" s="160"/>
      <c r="M10" s="82">
        <v>50</v>
      </c>
      <c r="O10" s="161" t="s">
        <v>12</v>
      </c>
      <c r="P10" s="162"/>
      <c r="Q10" s="77"/>
      <c r="S10" s="161" t="s">
        <v>193</v>
      </c>
      <c r="T10" s="163"/>
      <c r="U10" s="162"/>
      <c r="V10" s="151">
        <f>DECAISSEMENTS!C39/(ENCAISSEMENTS!D39*1000)</f>
        <v>1</v>
      </c>
      <c r="AB10" s="110">
        <f t="shared" si="0"/>
        <v>360</v>
      </c>
      <c r="AC10" s="110">
        <v>16</v>
      </c>
      <c r="AD10" s="113">
        <f t="shared" si="2"/>
        <v>1.07</v>
      </c>
      <c r="AF10" s="112">
        <f t="shared" si="1"/>
        <v>0.35</v>
      </c>
    </row>
    <row r="11" spans="1:39" ht="14.4" x14ac:dyDescent="0.3">
      <c r="A11" s="129" t="s">
        <v>28</v>
      </c>
      <c r="B11" s="130"/>
      <c r="C11" s="61">
        <f>DECAISSEMENTS!M39</f>
        <v>41700</v>
      </c>
      <c r="F11" s="161" t="s">
        <v>43</v>
      </c>
      <c r="G11" s="163"/>
      <c r="H11" s="162"/>
      <c r="I11" s="84">
        <v>0.57499999999999996</v>
      </c>
      <c r="K11" s="161" t="s">
        <v>30</v>
      </c>
      <c r="L11" s="162"/>
      <c r="M11" s="57">
        <f>1.01*C11-M8-Q8-M14</f>
        <v>29117</v>
      </c>
      <c r="N11"/>
      <c r="AB11" s="110">
        <f>AB12-20</f>
        <v>380</v>
      </c>
      <c r="AD11" s="113">
        <f t="shared" si="2"/>
        <v>1.08</v>
      </c>
      <c r="AF11" s="112">
        <f t="shared" si="1"/>
        <v>0.39999999999999997</v>
      </c>
    </row>
    <row r="12" spans="1:39" ht="14.4" x14ac:dyDescent="0.3">
      <c r="A12" s="129" t="s">
        <v>25</v>
      </c>
      <c r="B12" s="130"/>
      <c r="C12" s="61">
        <f>ENCAISSEMENTS!H39</f>
        <v>5096.1499999999996</v>
      </c>
      <c r="F12" s="161" t="s">
        <v>44</v>
      </c>
      <c r="G12" s="163"/>
      <c r="H12" s="162"/>
      <c r="I12" s="84">
        <v>0.57499999999999996</v>
      </c>
      <c r="K12" s="159" t="s">
        <v>45</v>
      </c>
      <c r="L12" s="160"/>
      <c r="M12" s="81">
        <v>0.01</v>
      </c>
      <c r="AB12" s="110">
        <v>400</v>
      </c>
      <c r="AD12" s="113">
        <f t="shared" si="2"/>
        <v>1.0900000000000001</v>
      </c>
      <c r="AF12" s="112">
        <f t="shared" si="1"/>
        <v>0.44999999999999996</v>
      </c>
    </row>
    <row r="13" spans="1:39" ht="14.4" x14ac:dyDescent="0.3">
      <c r="A13" s="129" t="s">
        <v>29</v>
      </c>
      <c r="B13" s="130"/>
      <c r="C13" s="62">
        <f>DECAISSEMENTS!K80</f>
        <v>762</v>
      </c>
      <c r="F13" s="161" t="s">
        <v>14</v>
      </c>
      <c r="G13" s="163"/>
      <c r="H13" s="162"/>
      <c r="I13" s="84">
        <v>0.03</v>
      </c>
      <c r="K13" s="159" t="s">
        <v>12</v>
      </c>
      <c r="L13" s="160"/>
      <c r="M13" s="78">
        <v>10</v>
      </c>
      <c r="AB13" s="110">
        <v>450</v>
      </c>
      <c r="AD13" s="113">
        <f t="shared" si="2"/>
        <v>1.1000000000000001</v>
      </c>
      <c r="AF13" s="112">
        <f t="shared" si="1"/>
        <v>0.49999999999999994</v>
      </c>
    </row>
    <row r="14" spans="1:39" ht="14.4" x14ac:dyDescent="0.3">
      <c r="A14" s="161" t="s">
        <v>38</v>
      </c>
      <c r="B14" s="162"/>
      <c r="C14" s="62">
        <f>DECAISSEMENTS!E84+DECAISSEMENTS!E85</f>
        <v>0</v>
      </c>
      <c r="F14" s="161" t="s">
        <v>34</v>
      </c>
      <c r="G14" s="163"/>
      <c r="H14" s="162"/>
      <c r="I14" s="84">
        <v>0.17199999999999999</v>
      </c>
      <c r="K14" s="159" t="s">
        <v>191</v>
      </c>
      <c r="L14" s="160"/>
      <c r="M14" s="78"/>
      <c r="AB14" s="110">
        <v>475</v>
      </c>
      <c r="AD14" s="113">
        <f t="shared" si="2"/>
        <v>1.1100000000000001</v>
      </c>
      <c r="AF14" s="112">
        <f t="shared" si="1"/>
        <v>0.54999999999999993</v>
      </c>
    </row>
    <row r="15" spans="1:39" ht="14.4" customHeight="1" x14ac:dyDescent="0.3">
      <c r="A15" s="159" t="s">
        <v>63</v>
      </c>
      <c r="B15" s="160"/>
      <c r="C15" s="62">
        <f>DECAISSEMENTS!E86</f>
        <v>0</v>
      </c>
      <c r="F15" s="170" t="s">
        <v>46</v>
      </c>
      <c r="G15" s="171"/>
      <c r="H15" s="172"/>
      <c r="I15" s="84">
        <v>0.99</v>
      </c>
      <c r="K15"/>
      <c r="L15"/>
      <c r="M15"/>
      <c r="N15"/>
      <c r="AB15" s="110">
        <v>500</v>
      </c>
      <c r="AD15" s="113">
        <f t="shared" si="2"/>
        <v>1.1200000000000001</v>
      </c>
      <c r="AF15" s="115">
        <v>0.57499999999999996</v>
      </c>
    </row>
    <row r="16" spans="1:39" ht="14.4" customHeight="1" x14ac:dyDescent="0.3">
      <c r="A16" s="159" t="s">
        <v>190</v>
      </c>
      <c r="B16" s="160"/>
      <c r="C16" s="62">
        <f>DECAISSEMENTS!E87</f>
        <v>0</v>
      </c>
      <c r="F16" s="63" t="s">
        <v>99</v>
      </c>
      <c r="G16" s="64"/>
      <c r="H16" s="65"/>
      <c r="I16" s="85"/>
      <c r="AB16" s="110">
        <f>AB15+50</f>
        <v>550</v>
      </c>
      <c r="AD16" s="113">
        <f t="shared" si="2"/>
        <v>1.1300000000000001</v>
      </c>
      <c r="AF16" s="112">
        <f>AF14+5%</f>
        <v>0.6</v>
      </c>
    </row>
    <row r="17" spans="1:44" ht="16.95" customHeight="1" x14ac:dyDescent="0.3">
      <c r="AB17" s="110">
        <f>AB16+10</f>
        <v>560</v>
      </c>
      <c r="AD17" s="113">
        <f t="shared" si="2"/>
        <v>1.1400000000000001</v>
      </c>
      <c r="AF17" s="112">
        <f>AF16+5%</f>
        <v>0.65</v>
      </c>
    </row>
    <row r="18" spans="1:44" ht="16.95" customHeight="1" x14ac:dyDescent="0.3">
      <c r="A18" s="164" t="s">
        <v>2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AB18" s="110">
        <f t="shared" ref="AB18:AB52" si="3">AB17+10</f>
        <v>570</v>
      </c>
      <c r="AD18" s="113">
        <f t="shared" si="2"/>
        <v>1.1500000000000001</v>
      </c>
      <c r="AF18" s="112">
        <f>AF17+5%</f>
        <v>0.70000000000000007</v>
      </c>
    </row>
    <row r="19" spans="1:44" ht="16.95" customHeight="1" thickBot="1" x14ac:dyDescent="0.35">
      <c r="AB19" s="110">
        <f t="shared" si="3"/>
        <v>580</v>
      </c>
      <c r="AD19" s="113">
        <f t="shared" si="2"/>
        <v>1.1600000000000001</v>
      </c>
      <c r="AF19" s="112">
        <f>AF18+5%</f>
        <v>0.75000000000000011</v>
      </c>
    </row>
    <row r="20" spans="1:44" ht="16.95" customHeight="1" x14ac:dyDescent="0.3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0">
        <f t="shared" si="3"/>
        <v>590</v>
      </c>
      <c r="AF20" s="112">
        <f>AF19+5%</f>
        <v>0.80000000000000016</v>
      </c>
      <c r="AN20" s="8"/>
      <c r="AO20" s="8"/>
      <c r="AP20" s="8"/>
      <c r="AQ20" s="8"/>
      <c r="AR20" s="9"/>
    </row>
    <row r="21" spans="1:44" ht="16.95" customHeight="1" x14ac:dyDescent="0.3">
      <c r="A21" s="155" t="s">
        <v>31</v>
      </c>
      <c r="B21" s="156"/>
      <c r="C21" s="125"/>
      <c r="D21" s="60">
        <f>C12*$I$15</f>
        <v>5045.1884999999993</v>
      </c>
      <c r="E21" s="60">
        <f t="shared" ref="E21:W21" si="4">$D$21*(1-perte_prod)^(E20-1)*(1+index_tarif)^(E20-1)</f>
        <v>5045.0623702874982</v>
      </c>
      <c r="F21" s="60">
        <f t="shared" si="4"/>
        <v>5044.9362437282407</v>
      </c>
      <c r="G21" s="60">
        <f t="shared" si="4"/>
        <v>5044.8101203221477</v>
      </c>
      <c r="H21" s="60">
        <f t="shared" si="4"/>
        <v>5044.6840000691382</v>
      </c>
      <c r="I21" s="60">
        <f t="shared" si="4"/>
        <v>5044.5578829691358</v>
      </c>
      <c r="J21" s="60">
        <f t="shared" si="4"/>
        <v>5044.4317690220605</v>
      </c>
      <c r="K21" s="60">
        <f t="shared" si="4"/>
        <v>5044.3056582278341</v>
      </c>
      <c r="L21" s="60">
        <f t="shared" si="4"/>
        <v>5044.1795505863774</v>
      </c>
      <c r="M21" s="60">
        <f t="shared" si="4"/>
        <v>5044.0534460976123</v>
      </c>
      <c r="N21" s="60">
        <f t="shared" si="4"/>
        <v>5043.9273447614596</v>
      </c>
      <c r="O21" s="60">
        <f t="shared" si="4"/>
        <v>5043.8012465778402</v>
      </c>
      <c r="P21" s="60">
        <f t="shared" si="4"/>
        <v>5043.6751515466749</v>
      </c>
      <c r="Q21" s="60">
        <f t="shared" si="4"/>
        <v>5043.5490596678865</v>
      </c>
      <c r="R21" s="60">
        <f t="shared" si="4"/>
        <v>5043.422970941393</v>
      </c>
      <c r="S21" s="60">
        <f t="shared" si="4"/>
        <v>5043.2968853671182</v>
      </c>
      <c r="T21" s="60">
        <f t="shared" si="4"/>
        <v>5043.1708029449837</v>
      </c>
      <c r="U21" s="60">
        <f t="shared" si="4"/>
        <v>5043.0447236749096</v>
      </c>
      <c r="V21" s="60">
        <f t="shared" si="4"/>
        <v>5042.9186475568158</v>
      </c>
      <c r="W21" s="60">
        <f t="shared" si="4"/>
        <v>5042.7925745906268</v>
      </c>
      <c r="AB21" s="110">
        <f t="shared" si="3"/>
        <v>600</v>
      </c>
      <c r="AF21" s="112">
        <f t="shared" ref="AF21:AF24" si="5">AF20+5%</f>
        <v>0.8500000000000002</v>
      </c>
    </row>
    <row r="22" spans="1:44" ht="16.95" customHeight="1" x14ac:dyDescent="0.3">
      <c r="A22" s="155" t="s">
        <v>1</v>
      </c>
      <c r="B22" s="156"/>
      <c r="C22" s="125"/>
      <c r="D22" s="60">
        <f>C14+C13</f>
        <v>762</v>
      </c>
      <c r="E22" s="60">
        <f t="shared" ref="E22:M22" si="6">$C$13*(1+inflation)^(E20-1)</f>
        <v>769.62</v>
      </c>
      <c r="F22" s="60">
        <f t="shared" si="6"/>
        <v>777.31619999999998</v>
      </c>
      <c r="G22" s="60">
        <f t="shared" si="6"/>
        <v>785.08936199999994</v>
      </c>
      <c r="H22" s="60">
        <f t="shared" si="6"/>
        <v>792.94025562000002</v>
      </c>
      <c r="I22" s="60">
        <f t="shared" si="6"/>
        <v>800.86965817619989</v>
      </c>
      <c r="J22" s="60">
        <f t="shared" si="6"/>
        <v>808.87835475796214</v>
      </c>
      <c r="K22" s="60">
        <f t="shared" si="6"/>
        <v>816.96713830554154</v>
      </c>
      <c r="L22" s="60">
        <f t="shared" si="6"/>
        <v>825.13680968859717</v>
      </c>
      <c r="M22" s="60">
        <f t="shared" si="6"/>
        <v>833.38817778548321</v>
      </c>
      <c r="N22" s="60">
        <f>(C15+C13+C16/5)*(1+inflation)^(N20-1)</f>
        <v>841.72205956333801</v>
      </c>
      <c r="O22" s="60">
        <f>($C$13+C16/5)*(1+inflation)^(O20-1)</f>
        <v>850.13928015897125</v>
      </c>
      <c r="P22" s="60">
        <f>($C$13+C16/5)*(1+inflation)^(P20-1)</f>
        <v>858.64067296056101</v>
      </c>
      <c r="Q22" s="60">
        <f>($C$13+C16/5)*(1+inflation)^(Q20-1)</f>
        <v>867.22707969016665</v>
      </c>
      <c r="R22" s="60">
        <f>($C$13+C16/5)*(1+inflation)^(R20-1)</f>
        <v>875.89935048706843</v>
      </c>
      <c r="S22" s="60">
        <f t="shared" ref="S22:W22" si="7">$C$13*(1+inflation)^(S20-1)</f>
        <v>884.65834399193886</v>
      </c>
      <c r="T22" s="60">
        <f t="shared" si="7"/>
        <v>893.5049274318585</v>
      </c>
      <c r="U22" s="60">
        <f t="shared" si="7"/>
        <v>902.43997670617716</v>
      </c>
      <c r="V22" s="60">
        <f t="shared" si="7"/>
        <v>911.46437647323887</v>
      </c>
      <c r="W22" s="60">
        <f t="shared" si="7"/>
        <v>920.57902023797112</v>
      </c>
      <c r="AB22" s="110">
        <f t="shared" si="3"/>
        <v>610</v>
      </c>
      <c r="AF22" s="112">
        <f t="shared" si="5"/>
        <v>0.90000000000000024</v>
      </c>
    </row>
    <row r="23" spans="1:44" s="67" customFormat="1" ht="16.95" customHeight="1" x14ac:dyDescent="0.3">
      <c r="A23" s="157" t="s">
        <v>5</v>
      </c>
      <c r="B23" s="158"/>
      <c r="C23" s="127"/>
      <c r="D23" s="66">
        <f>D21-D22</f>
        <v>4283.1884999999993</v>
      </c>
      <c r="E23" s="66">
        <f t="shared" ref="E23:W23" si="8">E21-E22</f>
        <v>4275.4423702874983</v>
      </c>
      <c r="F23" s="66">
        <f t="shared" si="8"/>
        <v>4267.6200437282405</v>
      </c>
      <c r="G23" s="66">
        <f t="shared" si="8"/>
        <v>4259.720758322148</v>
      </c>
      <c r="H23" s="66">
        <f t="shared" si="8"/>
        <v>4251.7437444491379</v>
      </c>
      <c r="I23" s="66">
        <f t="shared" si="8"/>
        <v>4243.6882247929361</v>
      </c>
      <c r="J23" s="66">
        <f t="shared" si="8"/>
        <v>4235.5534142640981</v>
      </c>
      <c r="K23" s="66">
        <f t="shared" si="8"/>
        <v>4227.3385199222921</v>
      </c>
      <c r="L23" s="66">
        <f t="shared" si="8"/>
        <v>4219.0427408977803</v>
      </c>
      <c r="M23" s="66">
        <f t="shared" si="8"/>
        <v>4210.6652683121292</v>
      </c>
      <c r="N23" s="66">
        <f t="shared" si="8"/>
        <v>4202.2052851981216</v>
      </c>
      <c r="O23" s="66">
        <f t="shared" si="8"/>
        <v>4193.6619664188693</v>
      </c>
      <c r="P23" s="66">
        <f t="shared" si="8"/>
        <v>4185.0344785861143</v>
      </c>
      <c r="Q23" s="66">
        <f t="shared" si="8"/>
        <v>4176.3219799777198</v>
      </c>
      <c r="R23" s="66">
        <f t="shared" si="8"/>
        <v>4167.5236204543244</v>
      </c>
      <c r="S23" s="66">
        <f t="shared" si="8"/>
        <v>4158.6385413751796</v>
      </c>
      <c r="T23" s="66">
        <f t="shared" si="8"/>
        <v>4149.6658755131248</v>
      </c>
      <c r="U23" s="66">
        <f t="shared" si="8"/>
        <v>4140.6047469687328</v>
      </c>
      <c r="V23" s="66">
        <f t="shared" si="8"/>
        <v>4131.4542710835767</v>
      </c>
      <c r="W23" s="66">
        <f t="shared" si="8"/>
        <v>4122.2135543526556</v>
      </c>
      <c r="AA23" s="110"/>
      <c r="AB23" s="110">
        <f t="shared" si="3"/>
        <v>620</v>
      </c>
      <c r="AC23" s="110"/>
      <c r="AD23" s="110"/>
      <c r="AE23" s="110"/>
      <c r="AF23" s="112">
        <f t="shared" si="5"/>
        <v>0.95000000000000029</v>
      </c>
      <c r="AG23" s="110"/>
      <c r="AH23" s="110"/>
      <c r="AI23" s="110"/>
    </row>
    <row r="24" spans="1:44" ht="16.95" customHeight="1" x14ac:dyDescent="0.3">
      <c r="A24" s="155" t="s">
        <v>84</v>
      </c>
      <c r="B24" s="156"/>
      <c r="C24" s="125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0">
        <f t="shared" si="3"/>
        <v>630</v>
      </c>
      <c r="AF24" s="112">
        <f t="shared" si="5"/>
        <v>1.0000000000000002</v>
      </c>
    </row>
    <row r="25" spans="1:44" s="67" customFormat="1" ht="16.95" customHeight="1" x14ac:dyDescent="0.3">
      <c r="A25" s="157" t="s">
        <v>6</v>
      </c>
      <c r="B25" s="158"/>
      <c r="C25" s="127"/>
      <c r="D25" s="66">
        <f>D23-D24</f>
        <v>4283.1884999999993</v>
      </c>
      <c r="E25" s="66">
        <f t="shared" ref="E25:I25" si="10">E23-E24</f>
        <v>4275.4423702874983</v>
      </c>
      <c r="F25" s="66">
        <f t="shared" si="10"/>
        <v>4267.6200437282405</v>
      </c>
      <c r="G25" s="66">
        <f t="shared" si="10"/>
        <v>4259.720758322148</v>
      </c>
      <c r="H25" s="66">
        <f t="shared" si="10"/>
        <v>4251.7437444491379</v>
      </c>
      <c r="I25" s="66">
        <f t="shared" si="10"/>
        <v>4243.6882247929361</v>
      </c>
      <c r="J25" s="66">
        <f t="shared" ref="J25" si="11">J23-J24</f>
        <v>4235.5534142640981</v>
      </c>
      <c r="K25" s="66">
        <f t="shared" ref="K25" si="12">K23-K24</f>
        <v>4227.3385199222921</v>
      </c>
      <c r="L25" s="66">
        <f t="shared" ref="L25" si="13">L23-L24</f>
        <v>4219.0427408977803</v>
      </c>
      <c r="M25" s="66">
        <f t="shared" ref="M25" si="14">M23-M24</f>
        <v>4210.6652683121292</v>
      </c>
      <c r="N25" s="66">
        <f t="shared" ref="N25" si="15">N23-N24</f>
        <v>4202.2052851981216</v>
      </c>
      <c r="O25" s="66">
        <f t="shared" ref="O25" si="16">O23-O24</f>
        <v>4193.6619664188693</v>
      </c>
      <c r="P25" s="66">
        <f t="shared" ref="P25" si="17">P23-P24</f>
        <v>4185.0344785861143</v>
      </c>
      <c r="Q25" s="66">
        <f t="shared" ref="Q25" si="18">Q23-Q24</f>
        <v>4176.3219799777198</v>
      </c>
      <c r="R25" s="66">
        <f t="shared" ref="R25" si="19">R23-R24</f>
        <v>4167.5236204543244</v>
      </c>
      <c r="S25" s="66">
        <f t="shared" ref="S25" si="20">S23-S24</f>
        <v>4158.6385413751796</v>
      </c>
      <c r="T25" s="66">
        <f t="shared" ref="T25" si="21">T23-T24</f>
        <v>4149.6658755131248</v>
      </c>
      <c r="U25" s="66">
        <f t="shared" ref="U25" si="22">U23-U24</f>
        <v>4140.6047469687328</v>
      </c>
      <c r="V25" s="66">
        <f t="shared" ref="V25" si="23">V23-V24</f>
        <v>4131.4542710835767</v>
      </c>
      <c r="W25" s="66">
        <f t="shared" ref="W25" si="24">W23-W24</f>
        <v>4122.2135543526556</v>
      </c>
      <c r="AA25" s="110"/>
      <c r="AB25" s="110">
        <f t="shared" si="3"/>
        <v>640</v>
      </c>
      <c r="AC25" s="110"/>
      <c r="AD25" s="110"/>
      <c r="AE25" s="110"/>
      <c r="AF25" s="112"/>
      <c r="AG25" s="110"/>
      <c r="AH25" s="110"/>
      <c r="AI25" s="110"/>
    </row>
    <row r="26" spans="1:44" ht="16.95" customHeight="1" x14ac:dyDescent="0.3">
      <c r="A26" s="155" t="s">
        <v>7</v>
      </c>
      <c r="B26" s="156"/>
      <c r="C26" s="125"/>
      <c r="D26" s="60">
        <f>($C$11-$M$14)/20</f>
        <v>2085</v>
      </c>
      <c r="E26" s="60">
        <f t="shared" ref="E26:W26" si="25">($C$11-$M$14)/20</f>
        <v>2085</v>
      </c>
      <c r="F26" s="60">
        <f t="shared" si="25"/>
        <v>2085</v>
      </c>
      <c r="G26" s="60">
        <f t="shared" si="25"/>
        <v>2085</v>
      </c>
      <c r="H26" s="60">
        <f t="shared" si="25"/>
        <v>2085</v>
      </c>
      <c r="I26" s="60">
        <f t="shared" si="25"/>
        <v>2085</v>
      </c>
      <c r="J26" s="60">
        <f t="shared" si="25"/>
        <v>2085</v>
      </c>
      <c r="K26" s="60">
        <f t="shared" si="25"/>
        <v>2085</v>
      </c>
      <c r="L26" s="60">
        <f t="shared" si="25"/>
        <v>2085</v>
      </c>
      <c r="M26" s="60">
        <f t="shared" si="25"/>
        <v>2085</v>
      </c>
      <c r="N26" s="60">
        <f t="shared" si="25"/>
        <v>2085</v>
      </c>
      <c r="O26" s="60">
        <f t="shared" si="25"/>
        <v>2085</v>
      </c>
      <c r="P26" s="60">
        <f t="shared" si="25"/>
        <v>2085</v>
      </c>
      <c r="Q26" s="60">
        <f t="shared" si="25"/>
        <v>2085</v>
      </c>
      <c r="R26" s="60">
        <f t="shared" si="25"/>
        <v>2085</v>
      </c>
      <c r="S26" s="60">
        <f t="shared" si="25"/>
        <v>2085</v>
      </c>
      <c r="T26" s="60">
        <f t="shared" si="25"/>
        <v>2085</v>
      </c>
      <c r="U26" s="60">
        <f t="shared" si="25"/>
        <v>2085</v>
      </c>
      <c r="V26" s="60">
        <f t="shared" si="25"/>
        <v>2085</v>
      </c>
      <c r="W26" s="60">
        <f t="shared" si="25"/>
        <v>2085</v>
      </c>
      <c r="AB26" s="110">
        <f t="shared" si="3"/>
        <v>650</v>
      </c>
      <c r="AF26" s="112"/>
    </row>
    <row r="27" spans="1:44" ht="14.4" x14ac:dyDescent="0.3">
      <c r="A27" s="156" t="s">
        <v>8</v>
      </c>
      <c r="B27" s="168"/>
      <c r="C27" s="126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0">
        <f t="shared" si="3"/>
        <v>660</v>
      </c>
      <c r="AF27" s="112"/>
    </row>
    <row r="28" spans="1:44" s="67" customFormat="1" ht="16.95" customHeight="1" x14ac:dyDescent="0.3">
      <c r="A28" s="157" t="s">
        <v>9</v>
      </c>
      <c r="B28" s="158"/>
      <c r="C28" s="127"/>
      <c r="D28" s="66">
        <f t="shared" ref="D28:W28" si="26">D25-D26-D27</f>
        <v>2198.1884999999993</v>
      </c>
      <c r="E28" s="66">
        <f t="shared" si="26"/>
        <v>2190.4423702874983</v>
      </c>
      <c r="F28" s="66">
        <f t="shared" si="26"/>
        <v>2182.6200437282405</v>
      </c>
      <c r="G28" s="66">
        <f t="shared" si="26"/>
        <v>2174.720758322148</v>
      </c>
      <c r="H28" s="66">
        <f t="shared" si="26"/>
        <v>2166.7437444491379</v>
      </c>
      <c r="I28" s="66">
        <f t="shared" si="26"/>
        <v>2158.6882247929361</v>
      </c>
      <c r="J28" s="66">
        <f t="shared" si="26"/>
        <v>2150.5534142640981</v>
      </c>
      <c r="K28" s="66">
        <f t="shared" si="26"/>
        <v>2142.3385199222921</v>
      </c>
      <c r="L28" s="66">
        <f t="shared" si="26"/>
        <v>2134.0427408977803</v>
      </c>
      <c r="M28" s="66">
        <f t="shared" si="26"/>
        <v>2125.6652683121292</v>
      </c>
      <c r="N28" s="66">
        <f t="shared" si="26"/>
        <v>2117.2052851981216</v>
      </c>
      <c r="O28" s="66">
        <f t="shared" si="26"/>
        <v>2108.6619664188693</v>
      </c>
      <c r="P28" s="66">
        <f t="shared" si="26"/>
        <v>2100.0344785861143</v>
      </c>
      <c r="Q28" s="66">
        <f t="shared" si="26"/>
        <v>2091.3219799777198</v>
      </c>
      <c r="R28" s="66">
        <f t="shared" si="26"/>
        <v>2082.5236204543244</v>
      </c>
      <c r="S28" s="66">
        <f t="shared" si="26"/>
        <v>2073.6385413751796</v>
      </c>
      <c r="T28" s="66">
        <f t="shared" si="26"/>
        <v>2064.6658755131248</v>
      </c>
      <c r="U28" s="66">
        <f t="shared" si="26"/>
        <v>2055.6047469687328</v>
      </c>
      <c r="V28" s="66">
        <f t="shared" si="26"/>
        <v>2046.4542710835767</v>
      </c>
      <c r="W28" s="66">
        <f t="shared" si="26"/>
        <v>2037.2135543526556</v>
      </c>
      <c r="AA28" s="110"/>
      <c r="AB28" s="110">
        <f t="shared" si="3"/>
        <v>670</v>
      </c>
      <c r="AC28" s="110"/>
      <c r="AD28" s="110"/>
      <c r="AE28" s="110"/>
      <c r="AF28" s="112"/>
      <c r="AG28" s="110"/>
      <c r="AH28" s="110"/>
      <c r="AI28" s="110"/>
    </row>
    <row r="29" spans="1:44" ht="16.95" customHeight="1" x14ac:dyDescent="0.3">
      <c r="A29" s="173" t="s">
        <v>13</v>
      </c>
      <c r="B29" s="174"/>
      <c r="C29" s="124"/>
      <c r="D29" s="60">
        <f t="shared" ref="D29:W29" si="27">IF(D20&lt;=$M$13,-IPMT($M$12,D20,$M$13,$M$11),0)</f>
        <v>291.17</v>
      </c>
      <c r="E29" s="60">
        <f t="shared" si="27"/>
        <v>263.33936677059546</v>
      </c>
      <c r="F29" s="60">
        <f t="shared" si="27"/>
        <v>235.23042720889683</v>
      </c>
      <c r="G29" s="60">
        <f t="shared" si="27"/>
        <v>206.84039825158121</v>
      </c>
      <c r="H29" s="60">
        <f t="shared" si="27"/>
        <v>178.16646900469249</v>
      </c>
      <c r="I29" s="60">
        <f t="shared" si="27"/>
        <v>149.20580046533485</v>
      </c>
      <c r="J29" s="60">
        <f t="shared" si="27"/>
        <v>119.95552524058361</v>
      </c>
      <c r="K29" s="60">
        <f t="shared" si="27"/>
        <v>90.412747263584876</v>
      </c>
      <c r="L29" s="60">
        <f t="shared" si="27"/>
        <v>60.574541506816175</v>
      </c>
      <c r="M29" s="60">
        <f t="shared" si="27"/>
        <v>30.43795369247977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0">
        <f t="shared" si="3"/>
        <v>680</v>
      </c>
      <c r="AF29" s="112"/>
    </row>
    <row r="30" spans="1:44" ht="14.4" x14ac:dyDescent="0.3">
      <c r="A30" s="155" t="s">
        <v>64</v>
      </c>
      <c r="B30" s="156"/>
      <c r="C30" s="125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0">
        <f t="shared" si="3"/>
        <v>690</v>
      </c>
      <c r="AF30" s="112"/>
    </row>
    <row r="31" spans="1:44" s="67" customFormat="1" ht="16.95" customHeight="1" x14ac:dyDescent="0.3">
      <c r="A31" s="157" t="s">
        <v>10</v>
      </c>
      <c r="B31" s="158"/>
      <c r="C31" s="127"/>
      <c r="D31" s="66">
        <f t="shared" ref="D31:W31" si="29">D28-D29-D30</f>
        <v>1907.0184999999992</v>
      </c>
      <c r="E31" s="66">
        <f t="shared" si="29"/>
        <v>1927.1030035169028</v>
      </c>
      <c r="F31" s="66">
        <f t="shared" si="29"/>
        <v>1947.3896165193437</v>
      </c>
      <c r="G31" s="66">
        <f t="shared" si="29"/>
        <v>1967.8803600705667</v>
      </c>
      <c r="H31" s="66">
        <f t="shared" si="29"/>
        <v>1988.5772754444454</v>
      </c>
      <c r="I31" s="66">
        <f t="shared" si="29"/>
        <v>2009.4824243276012</v>
      </c>
      <c r="J31" s="66">
        <f t="shared" si="29"/>
        <v>2030.5978890235144</v>
      </c>
      <c r="K31" s="66">
        <f t="shared" si="29"/>
        <v>2051.925772658707</v>
      </c>
      <c r="L31" s="66">
        <f t="shared" si="29"/>
        <v>2073.4681993909639</v>
      </c>
      <c r="M31" s="66">
        <f t="shared" si="29"/>
        <v>2095.2273146196494</v>
      </c>
      <c r="N31" s="66">
        <f t="shared" si="29"/>
        <v>2117.2052851981216</v>
      </c>
      <c r="O31" s="66">
        <f t="shared" si="29"/>
        <v>2108.6619664188693</v>
      </c>
      <c r="P31" s="66">
        <f t="shared" si="29"/>
        <v>2100.0344785861143</v>
      </c>
      <c r="Q31" s="66">
        <f t="shared" si="29"/>
        <v>2091.3219799777198</v>
      </c>
      <c r="R31" s="66">
        <f t="shared" si="29"/>
        <v>2082.5236204543244</v>
      </c>
      <c r="S31" s="66">
        <f t="shared" si="29"/>
        <v>2073.6385413751796</v>
      </c>
      <c r="T31" s="66">
        <f t="shared" si="29"/>
        <v>2064.6658755131248</v>
      </c>
      <c r="U31" s="66">
        <f t="shared" si="29"/>
        <v>2055.6047469687328</v>
      </c>
      <c r="V31" s="66">
        <f t="shared" si="29"/>
        <v>2046.4542710835767</v>
      </c>
      <c r="W31" s="66">
        <f t="shared" si="29"/>
        <v>2037.2135543526556</v>
      </c>
      <c r="AA31" s="110"/>
      <c r="AB31" s="110">
        <f t="shared" si="3"/>
        <v>700</v>
      </c>
      <c r="AC31" s="110"/>
      <c r="AD31" s="110"/>
      <c r="AE31" s="110"/>
      <c r="AF31" s="112"/>
      <c r="AG31" s="110"/>
      <c r="AH31" s="110"/>
      <c r="AI31" s="110"/>
    </row>
    <row r="32" spans="1:44" ht="14.4" x14ac:dyDescent="0.3">
      <c r="A32" s="155" t="s">
        <v>47</v>
      </c>
      <c r="B32" s="156"/>
      <c r="C32" s="125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0">
        <f t="shared" si="3"/>
        <v>710</v>
      </c>
      <c r="AF32" s="112"/>
    </row>
    <row r="33" spans="1:35" ht="14.4" x14ac:dyDescent="0.3">
      <c r="A33" s="155" t="s">
        <v>82</v>
      </c>
      <c r="B33" s="156"/>
      <c r="C33" s="125"/>
      <c r="D33" s="60">
        <f>IF(D31&lt;0,0,IF(D31&lt;38120,IF(B4="SAS",0.15*D31,0.15*D31*(1-I11)),IF(B4="SAS",0.33*D31,0.33*D31*(1-I11))))</f>
        <v>121.57242937499996</v>
      </c>
      <c r="E33" s="60">
        <f>IF(E31+D32&lt;0,0,IF(E31&lt;38120,IF($B$4="SAS",0.15*(E31+D32),0.15*(E31+D32)*(1-$I$11)),IF($B$4="SAS",0.33*(E31+D32),0.33*(1-$I$11)*(E31+D32))))</f>
        <v>122.85281647420256</v>
      </c>
      <c r="F33" s="60">
        <f>IF(F31+E32&lt;0,0,IF(F31&lt;38120,IF($B$4="SAS",0.15*(F31+E32),0.15*(F31+E32)*(1-$I$11)),IF($B$4="SAS",0.33*(F31+E32),0.33*(1-$I$11)*(F31+E32))))</f>
        <v>124.14608805310816</v>
      </c>
      <c r="G33" s="60">
        <f t="shared" ref="G33:W33" si="41">IF(G31+F32&lt;0,0,IF(G31&lt;38120,IF($B$4="SAS",0.15*(G31+F32),0.15*(G31+F32)*(1-$I$12)),IF($B$4="SAS",0.33*(G31+F32),0.33*(1-$I$12)*(G31+F32))))</f>
        <v>125.45237295449863</v>
      </c>
      <c r="H33" s="60">
        <f t="shared" si="41"/>
        <v>126.7718013095834</v>
      </c>
      <c r="I33" s="60">
        <f t="shared" si="41"/>
        <v>128.10450455088457</v>
      </c>
      <c r="J33" s="60">
        <f t="shared" si="41"/>
        <v>129.45061542524905</v>
      </c>
      <c r="K33" s="60">
        <f t="shared" si="41"/>
        <v>130.81026800699257</v>
      </c>
      <c r="L33" s="60">
        <f t="shared" si="41"/>
        <v>132.18359771117397</v>
      </c>
      <c r="M33" s="60">
        <f t="shared" si="41"/>
        <v>133.57074130700266</v>
      </c>
      <c r="N33" s="60">
        <f t="shared" si="41"/>
        <v>134.97183693138027</v>
      </c>
      <c r="O33" s="60">
        <f t="shared" si="41"/>
        <v>134.42720035920294</v>
      </c>
      <c r="P33" s="60">
        <f t="shared" si="41"/>
        <v>133.8771980098648</v>
      </c>
      <c r="Q33" s="60">
        <f t="shared" si="41"/>
        <v>133.32177622357966</v>
      </c>
      <c r="R33" s="60">
        <f t="shared" si="41"/>
        <v>132.76088080396318</v>
      </c>
      <c r="S33" s="60">
        <f t="shared" si="41"/>
        <v>132.1944570126677</v>
      </c>
      <c r="T33" s="60">
        <f t="shared" si="41"/>
        <v>131.62244956396171</v>
      </c>
      <c r="U33" s="60">
        <f t="shared" si="41"/>
        <v>131.04480261925673</v>
      </c>
      <c r="V33" s="60">
        <f t="shared" si="41"/>
        <v>130.46145978157801</v>
      </c>
      <c r="W33" s="60">
        <f t="shared" si="41"/>
        <v>129.8723640899818</v>
      </c>
      <c r="AB33" s="110">
        <f t="shared" si="3"/>
        <v>720</v>
      </c>
      <c r="AF33" s="112"/>
    </row>
    <row r="34" spans="1:35" s="67" customFormat="1" ht="16.95" customHeight="1" x14ac:dyDescent="0.3">
      <c r="A34" s="157" t="s">
        <v>11</v>
      </c>
      <c r="B34" s="158"/>
      <c r="C34" s="127"/>
      <c r="D34" s="66">
        <f t="shared" ref="D34:W34" si="42">D31-D33</f>
        <v>1785.4460706249993</v>
      </c>
      <c r="E34" s="66">
        <f t="shared" si="42"/>
        <v>1804.2501870427002</v>
      </c>
      <c r="F34" s="66">
        <f t="shared" si="42"/>
        <v>1823.2435284662356</v>
      </c>
      <c r="G34" s="66">
        <f t="shared" si="42"/>
        <v>1842.4279871160679</v>
      </c>
      <c r="H34" s="66">
        <f t="shared" si="42"/>
        <v>1861.8054741348619</v>
      </c>
      <c r="I34" s="66">
        <f t="shared" si="42"/>
        <v>1881.3779197767167</v>
      </c>
      <c r="J34" s="66">
        <f t="shared" si="42"/>
        <v>1901.1472735982654</v>
      </c>
      <c r="K34" s="66">
        <f t="shared" si="42"/>
        <v>1921.1155046517144</v>
      </c>
      <c r="L34" s="66">
        <f t="shared" si="42"/>
        <v>1941.2846016797901</v>
      </c>
      <c r="M34" s="66">
        <f t="shared" si="42"/>
        <v>1961.6565733126467</v>
      </c>
      <c r="N34" s="66">
        <f t="shared" si="42"/>
        <v>1982.2334482667413</v>
      </c>
      <c r="O34" s="66">
        <f t="shared" si="42"/>
        <v>1974.2347660596663</v>
      </c>
      <c r="P34" s="66">
        <f t="shared" si="42"/>
        <v>1966.1572805762496</v>
      </c>
      <c r="Q34" s="66">
        <f t="shared" si="42"/>
        <v>1958.0002037541401</v>
      </c>
      <c r="R34" s="66">
        <f t="shared" si="42"/>
        <v>1949.7627396503613</v>
      </c>
      <c r="S34" s="66">
        <f t="shared" si="42"/>
        <v>1941.4440843625118</v>
      </c>
      <c r="T34" s="66">
        <f t="shared" si="42"/>
        <v>1933.0434259491631</v>
      </c>
      <c r="U34" s="66">
        <f t="shared" si="42"/>
        <v>1924.5599443494762</v>
      </c>
      <c r="V34" s="66">
        <f t="shared" si="42"/>
        <v>1915.9928113019987</v>
      </c>
      <c r="W34" s="66">
        <f t="shared" si="42"/>
        <v>1907.3411902626738</v>
      </c>
      <c r="X34" s="154"/>
      <c r="AA34" s="110"/>
      <c r="AB34" s="110">
        <f t="shared" si="3"/>
        <v>730</v>
      </c>
      <c r="AC34" s="110"/>
      <c r="AD34" s="110"/>
      <c r="AE34" s="110"/>
      <c r="AF34" s="112"/>
      <c r="AG34" s="110"/>
      <c r="AH34" s="110"/>
      <c r="AI34" s="110"/>
    </row>
    <row r="35" spans="1:35" s="68" customFormat="1" ht="16.95" customHeight="1" x14ac:dyDescent="0.3">
      <c r="A35" s="184" t="s">
        <v>206</v>
      </c>
      <c r="B35" s="185"/>
      <c r="C35" s="185"/>
      <c r="D35" s="210">
        <f>(20-D20)*D21</f>
        <v>95858.581499999986</v>
      </c>
      <c r="E35" s="210">
        <f t="shared" ref="E35:W35" si="43">(20-E20)*E21</f>
        <v>90811.122665174975</v>
      </c>
      <c r="F35" s="210">
        <f t="shared" si="43"/>
        <v>85763.916143380091</v>
      </c>
      <c r="G35" s="210">
        <f t="shared" si="43"/>
        <v>80716.961925154363</v>
      </c>
      <c r="H35" s="210">
        <f t="shared" si="43"/>
        <v>75670.260001037066</v>
      </c>
      <c r="I35" s="210">
        <f t="shared" si="43"/>
        <v>70623.810361567899</v>
      </c>
      <c r="J35" s="210">
        <f t="shared" si="43"/>
        <v>65577.612997286793</v>
      </c>
      <c r="K35" s="210">
        <f t="shared" si="43"/>
        <v>60531.667898734013</v>
      </c>
      <c r="L35" s="210">
        <f t="shared" si="43"/>
        <v>55485.975056450152</v>
      </c>
      <c r="M35" s="210">
        <f t="shared" si="43"/>
        <v>50440.534460976123</v>
      </c>
      <c r="N35" s="210">
        <f t="shared" si="43"/>
        <v>45395.346102853138</v>
      </c>
      <c r="O35" s="210">
        <f t="shared" si="43"/>
        <v>40350.409972622721</v>
      </c>
      <c r="P35" s="210">
        <f t="shared" si="43"/>
        <v>35305.726060826724</v>
      </c>
      <c r="Q35" s="210">
        <f t="shared" si="43"/>
        <v>30261.294358007319</v>
      </c>
      <c r="R35" s="210">
        <f t="shared" si="43"/>
        <v>25217.114854706964</v>
      </c>
      <c r="S35" s="210">
        <f t="shared" si="43"/>
        <v>20173.187541468473</v>
      </c>
      <c r="T35" s="210">
        <f t="shared" si="43"/>
        <v>15129.512408834951</v>
      </c>
      <c r="U35" s="210">
        <f t="shared" si="43"/>
        <v>10086.089447349819</v>
      </c>
      <c r="V35" s="210">
        <f t="shared" si="43"/>
        <v>5042.9186475568158</v>
      </c>
      <c r="W35" s="210">
        <f t="shared" si="43"/>
        <v>0</v>
      </c>
      <c r="AA35" s="116"/>
      <c r="AB35" s="110">
        <f t="shared" si="3"/>
        <v>740</v>
      </c>
      <c r="AC35" s="116"/>
      <c r="AD35" s="116"/>
      <c r="AE35" s="116"/>
      <c r="AF35" s="116"/>
      <c r="AG35" s="116"/>
      <c r="AH35" s="116"/>
      <c r="AI35" s="116"/>
    </row>
    <row r="36" spans="1:35" s="68" customFormat="1" ht="16.95" customHeight="1" x14ac:dyDescent="0.3">
      <c r="B36" s="185"/>
      <c r="C36" s="185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AA36" s="116"/>
      <c r="AB36" s="110"/>
      <c r="AC36" s="116"/>
      <c r="AD36" s="116"/>
      <c r="AE36" s="116"/>
      <c r="AF36" s="116"/>
      <c r="AG36" s="116"/>
      <c r="AH36" s="116"/>
      <c r="AI36" s="116"/>
    </row>
    <row r="37" spans="1:35" s="68" customFormat="1" ht="16.95" customHeight="1" x14ac:dyDescent="0.3">
      <c r="A37" s="186" t="s">
        <v>208</v>
      </c>
      <c r="B37" s="185"/>
      <c r="C37" s="185"/>
      <c r="D37" s="210">
        <f t="shared" ref="D37:F37" si="44">(20-D20)*D26</f>
        <v>39615</v>
      </c>
      <c r="E37" s="210">
        <f t="shared" si="44"/>
        <v>37530</v>
      </c>
      <c r="F37" s="210">
        <f t="shared" si="44"/>
        <v>35445</v>
      </c>
      <c r="G37" s="210">
        <f>(20-G20)*G26</f>
        <v>33360</v>
      </c>
      <c r="H37" s="210">
        <f t="shared" ref="H37:W37" si="45">(20-H20)*H26</f>
        <v>31275</v>
      </c>
      <c r="I37" s="210">
        <f t="shared" si="45"/>
        <v>29190</v>
      </c>
      <c r="J37" s="210">
        <f t="shared" si="45"/>
        <v>27105</v>
      </c>
      <c r="K37" s="210">
        <f t="shared" si="45"/>
        <v>25020</v>
      </c>
      <c r="L37" s="210">
        <f t="shared" si="45"/>
        <v>22935</v>
      </c>
      <c r="M37" s="210">
        <f t="shared" si="45"/>
        <v>20850</v>
      </c>
      <c r="N37" s="210">
        <f t="shared" si="45"/>
        <v>18765</v>
      </c>
      <c r="O37" s="210">
        <f t="shared" si="45"/>
        <v>16680</v>
      </c>
      <c r="P37" s="210">
        <f t="shared" si="45"/>
        <v>14595</v>
      </c>
      <c r="Q37" s="210">
        <f t="shared" si="45"/>
        <v>12510</v>
      </c>
      <c r="R37" s="210">
        <f t="shared" si="45"/>
        <v>10425</v>
      </c>
      <c r="S37" s="210">
        <f t="shared" si="45"/>
        <v>8340</v>
      </c>
      <c r="T37" s="210">
        <f t="shared" si="45"/>
        <v>6255</v>
      </c>
      <c r="U37" s="210">
        <f t="shared" si="45"/>
        <v>4170</v>
      </c>
      <c r="V37" s="210">
        <f t="shared" si="45"/>
        <v>2085</v>
      </c>
      <c r="W37" s="210">
        <f t="shared" si="45"/>
        <v>0</v>
      </c>
      <c r="AA37" s="116"/>
      <c r="AB37" s="110"/>
      <c r="AC37" s="116"/>
      <c r="AD37" s="116"/>
      <c r="AE37" s="116"/>
      <c r="AF37" s="116"/>
      <c r="AG37" s="116"/>
      <c r="AH37" s="116"/>
      <c r="AI37" s="116"/>
    </row>
    <row r="38" spans="1:35" s="68" customFormat="1" ht="16.95" customHeight="1" x14ac:dyDescent="0.3">
      <c r="A38" s="188" t="s">
        <v>209</v>
      </c>
      <c r="B38" s="188"/>
      <c r="C38" s="185"/>
      <c r="D38" s="210"/>
      <c r="E38" s="210"/>
      <c r="F38" s="210"/>
      <c r="G38" s="210">
        <f>SUM(D21:F21)</f>
        <v>15135.187114015738</v>
      </c>
      <c r="H38" s="210">
        <f t="shared" ref="H38:W38" si="46">SUM(E21:G21)</f>
        <v>15134.808734337887</v>
      </c>
      <c r="I38" s="210">
        <f t="shared" si="46"/>
        <v>15134.430364119526</v>
      </c>
      <c r="J38" s="210">
        <f t="shared" si="46"/>
        <v>15134.052003360423</v>
      </c>
      <c r="K38" s="210">
        <f t="shared" si="46"/>
        <v>15133.673652060334</v>
      </c>
      <c r="L38" s="210">
        <f t="shared" si="46"/>
        <v>15133.295310219029</v>
      </c>
      <c r="M38" s="210">
        <f t="shared" si="46"/>
        <v>15132.916977836272</v>
      </c>
      <c r="N38" s="210">
        <f t="shared" si="46"/>
        <v>15132.538654911823</v>
      </c>
      <c r="O38" s="210">
        <f t="shared" si="46"/>
        <v>15132.160341445449</v>
      </c>
      <c r="P38" s="210">
        <f t="shared" si="46"/>
        <v>15131.782037436911</v>
      </c>
      <c r="Q38" s="210">
        <f t="shared" si="46"/>
        <v>15131.403742885974</v>
      </c>
      <c r="R38" s="210">
        <f t="shared" si="46"/>
        <v>15131.025457792402</v>
      </c>
      <c r="S38" s="210">
        <f t="shared" si="46"/>
        <v>15130.647182155953</v>
      </c>
      <c r="T38" s="210">
        <f t="shared" si="46"/>
        <v>15130.268915976398</v>
      </c>
      <c r="U38" s="210">
        <f t="shared" si="46"/>
        <v>15129.890659253495</v>
      </c>
      <c r="V38" s="210">
        <f t="shared" si="46"/>
        <v>15129.512411987012</v>
      </c>
      <c r="W38" s="210">
        <f t="shared" si="46"/>
        <v>15129.13417417671</v>
      </c>
      <c r="AA38" s="116"/>
      <c r="AB38" s="110"/>
      <c r="AC38" s="116"/>
      <c r="AD38" s="116"/>
      <c r="AE38" s="116"/>
      <c r="AF38" s="116"/>
      <c r="AG38" s="116"/>
      <c r="AH38" s="116"/>
      <c r="AI38" s="116"/>
    </row>
    <row r="39" spans="1:35" s="68" customFormat="1" ht="16.95" customHeight="1" x14ac:dyDescent="0.3">
      <c r="A39" s="188" t="s">
        <v>210</v>
      </c>
      <c r="B39" s="188"/>
      <c r="C39" s="185"/>
      <c r="D39" s="209">
        <f>Prêt!J13</f>
        <v>9003.7442732259588</v>
      </c>
      <c r="E39" s="209">
        <f>Prêt!K13</f>
        <v>8006.658333346335</v>
      </c>
      <c r="F39" s="209">
        <f>Prêt!L13</f>
        <v>7008.7414885168137</v>
      </c>
      <c r="G39" s="209">
        <f>Prêt!M13</f>
        <v>6009.9930463165147</v>
      </c>
      <c r="H39" s="209">
        <f>Prêt!N13</f>
        <v>5010.4123137477191</v>
      </c>
      <c r="I39" s="209">
        <f>Prêt!O13</f>
        <v>4009.9985972353452</v>
      </c>
      <c r="J39" s="209">
        <f>Prêt!P13</f>
        <v>3008.7512026256127</v>
      </c>
      <c r="K39" s="209">
        <f>Prêt!Q13</f>
        <v>2006.669435187111</v>
      </c>
      <c r="L39" s="209">
        <f>Prêt!R13</f>
        <v>1003.7525996089425</v>
      </c>
      <c r="M39" s="209">
        <f>Prêt!S13</f>
        <v>1.5152181731536984E-9</v>
      </c>
      <c r="N39" s="209">
        <f>Prêt!T13</f>
        <v>0</v>
      </c>
      <c r="O39" s="209">
        <f>Prêt!U13</f>
        <v>0</v>
      </c>
      <c r="P39" s="209">
        <f>Prêt!V13</f>
        <v>0</v>
      </c>
      <c r="Q39" s="209">
        <f>Prêt!W13</f>
        <v>0</v>
      </c>
      <c r="R39" s="209">
        <f>Prêt!X13</f>
        <v>0</v>
      </c>
      <c r="S39" s="209">
        <f>Prêt!Y13</f>
        <v>0</v>
      </c>
      <c r="T39" s="209">
        <f>Prêt!Z13</f>
        <v>0</v>
      </c>
      <c r="U39" s="209">
        <f>Prêt!AA13</f>
        <v>0</v>
      </c>
      <c r="V39" s="209">
        <f>Prêt!AB13</f>
        <v>0</v>
      </c>
      <c r="W39" s="209">
        <f>Prêt!AC13</f>
        <v>0</v>
      </c>
      <c r="AA39" s="116"/>
      <c r="AB39" s="110"/>
      <c r="AC39" s="116"/>
      <c r="AD39" s="116"/>
      <c r="AE39" s="116"/>
      <c r="AF39" s="116"/>
      <c r="AG39" s="116"/>
      <c r="AH39" s="116"/>
      <c r="AI39" s="116"/>
    </row>
    <row r="40" spans="1:35" s="68" customFormat="1" ht="16.95" customHeight="1" x14ac:dyDescent="0.3">
      <c r="A40" s="185" t="s">
        <v>207</v>
      </c>
      <c r="B40" s="187"/>
      <c r="C40" s="185"/>
      <c r="D40" s="209"/>
      <c r="E40" s="209"/>
      <c r="F40" s="209"/>
      <c r="G40" s="209">
        <f t="shared" ref="E40:W40" si="47">SUM(G37:G39)</f>
        <v>54505.180160332253</v>
      </c>
      <c r="H40" s="209">
        <f t="shared" si="47"/>
        <v>51420.221048085608</v>
      </c>
      <c r="I40" s="209">
        <f t="shared" si="47"/>
        <v>48334.428961354875</v>
      </c>
      <c r="J40" s="209">
        <f t="shared" si="47"/>
        <v>45247.803205986042</v>
      </c>
      <c r="K40" s="209">
        <f t="shared" si="47"/>
        <v>42160.343087247442</v>
      </c>
      <c r="L40" s="209">
        <f t="shared" si="47"/>
        <v>39072.047909827976</v>
      </c>
      <c r="M40" s="209">
        <f t="shared" si="47"/>
        <v>35982.916977837784</v>
      </c>
      <c r="N40" s="209">
        <f t="shared" si="47"/>
        <v>33897.538654911827</v>
      </c>
      <c r="O40" s="209">
        <f t="shared" si="47"/>
        <v>31812.160341445451</v>
      </c>
      <c r="P40" s="209">
        <f t="shared" si="47"/>
        <v>29726.782037436911</v>
      </c>
      <c r="Q40" s="209">
        <f t="shared" si="47"/>
        <v>27641.403742885974</v>
      </c>
      <c r="R40" s="209">
        <f t="shared" si="47"/>
        <v>25556.025457792402</v>
      </c>
      <c r="S40" s="209">
        <f t="shared" si="47"/>
        <v>23470.647182155953</v>
      </c>
      <c r="T40" s="209">
        <f t="shared" si="47"/>
        <v>21385.268915976398</v>
      </c>
      <c r="U40" s="209">
        <f t="shared" si="47"/>
        <v>19299.890659253495</v>
      </c>
      <c r="V40" s="209">
        <f t="shared" si="47"/>
        <v>17214.512411987012</v>
      </c>
      <c r="W40" s="209">
        <f t="shared" si="47"/>
        <v>15129.13417417671</v>
      </c>
      <c r="AA40" s="116"/>
      <c r="AB40" s="110"/>
      <c r="AC40" s="116"/>
      <c r="AD40" s="116"/>
      <c r="AE40" s="116"/>
      <c r="AF40" s="116"/>
      <c r="AG40" s="116"/>
      <c r="AH40" s="116"/>
      <c r="AI40" s="116"/>
    </row>
    <row r="41" spans="1:35" ht="16.95" customHeight="1" x14ac:dyDescent="0.3">
      <c r="A41" s="155" t="s">
        <v>32</v>
      </c>
      <c r="B41" s="156"/>
      <c r="C41" s="125"/>
      <c r="D41" s="60">
        <f t="shared" ref="D41:W41" si="48">D34+D27+D26</f>
        <v>3870.4460706249993</v>
      </c>
      <c r="E41" s="60">
        <f t="shared" si="48"/>
        <v>3889.2501870427004</v>
      </c>
      <c r="F41" s="60">
        <f t="shared" si="48"/>
        <v>3908.2435284662356</v>
      </c>
      <c r="G41" s="60">
        <f t="shared" si="48"/>
        <v>3927.4279871160679</v>
      </c>
      <c r="H41" s="60">
        <f t="shared" si="48"/>
        <v>3946.8054741348619</v>
      </c>
      <c r="I41" s="60">
        <f t="shared" si="48"/>
        <v>3966.3779197767167</v>
      </c>
      <c r="J41" s="60">
        <f t="shared" si="48"/>
        <v>3986.1472735982652</v>
      </c>
      <c r="K41" s="60">
        <f t="shared" si="48"/>
        <v>4006.1155046517142</v>
      </c>
      <c r="L41" s="60">
        <f t="shared" si="48"/>
        <v>4026.2846016797903</v>
      </c>
      <c r="M41" s="60">
        <f t="shared" si="48"/>
        <v>4046.6565733126467</v>
      </c>
      <c r="N41" s="60">
        <f t="shared" si="48"/>
        <v>4067.2334482667411</v>
      </c>
      <c r="O41" s="60">
        <f t="shared" si="48"/>
        <v>4059.2347660596661</v>
      </c>
      <c r="P41" s="60">
        <f t="shared" si="48"/>
        <v>4051.1572805762498</v>
      </c>
      <c r="Q41" s="60">
        <f t="shared" si="48"/>
        <v>4043.0002037541399</v>
      </c>
      <c r="R41" s="60">
        <f t="shared" si="48"/>
        <v>4034.7627396503613</v>
      </c>
      <c r="S41" s="60">
        <f t="shared" si="48"/>
        <v>4026.4440843625116</v>
      </c>
      <c r="T41" s="60">
        <f t="shared" si="48"/>
        <v>4018.0434259491631</v>
      </c>
      <c r="U41" s="60">
        <f t="shared" si="48"/>
        <v>4009.5599443494762</v>
      </c>
      <c r="V41" s="60">
        <f t="shared" si="48"/>
        <v>4000.9928113019987</v>
      </c>
      <c r="W41" s="60">
        <f t="shared" si="48"/>
        <v>3992.341190262674</v>
      </c>
      <c r="AB41" s="110">
        <f>AB35+10</f>
        <v>750</v>
      </c>
      <c r="AF41" s="112"/>
    </row>
    <row r="42" spans="1:35" ht="14.4" x14ac:dyDescent="0.3">
      <c r="A42" s="156" t="s">
        <v>21</v>
      </c>
      <c r="B42" s="168"/>
      <c r="C42" s="131">
        <f>-C11+M14</f>
        <v>-41700</v>
      </c>
      <c r="D42" s="60">
        <f>D41+D30+D29</f>
        <v>4161.6160706249993</v>
      </c>
      <c r="E42" s="60">
        <f>E41+E30+E29</f>
        <v>4152.5895538132954</v>
      </c>
      <c r="F42" s="60">
        <f t="shared" ref="F42:W42" si="49">F41+F30+F29</f>
        <v>4143.4739556751329</v>
      </c>
      <c r="G42" s="60">
        <f t="shared" si="49"/>
        <v>4134.268385367649</v>
      </c>
      <c r="H42" s="60">
        <f t="shared" si="49"/>
        <v>4124.9719431395542</v>
      </c>
      <c r="I42" s="60">
        <f t="shared" si="49"/>
        <v>4115.5837202420516</v>
      </c>
      <c r="J42" s="60">
        <f t="shared" si="49"/>
        <v>4106.1027988388487</v>
      </c>
      <c r="K42" s="60">
        <f t="shared" si="49"/>
        <v>4096.5282519152988</v>
      </c>
      <c r="L42" s="60">
        <f t="shared" si="49"/>
        <v>4086.8591431866066</v>
      </c>
      <c r="M42" s="60">
        <f t="shared" si="49"/>
        <v>4077.0945270051266</v>
      </c>
      <c r="N42" s="60">
        <f t="shared" si="49"/>
        <v>4067.2334482667411</v>
      </c>
      <c r="O42" s="60">
        <f t="shared" si="49"/>
        <v>4059.2347660596661</v>
      </c>
      <c r="P42" s="60">
        <f t="shared" si="49"/>
        <v>4051.1572805762498</v>
      </c>
      <c r="Q42" s="60">
        <f t="shared" si="49"/>
        <v>4043.0002037541399</v>
      </c>
      <c r="R42" s="60">
        <f t="shared" si="49"/>
        <v>4034.7627396503613</v>
      </c>
      <c r="S42" s="60">
        <f t="shared" si="49"/>
        <v>4026.4440843625116</v>
      </c>
      <c r="T42" s="60">
        <f t="shared" si="49"/>
        <v>4018.0434259491631</v>
      </c>
      <c r="U42" s="60">
        <f t="shared" si="49"/>
        <v>4009.5599443494762</v>
      </c>
      <c r="V42" s="60">
        <f t="shared" si="49"/>
        <v>4000.9928113019987</v>
      </c>
      <c r="W42" s="60">
        <f t="shared" si="49"/>
        <v>3992.341190262674</v>
      </c>
      <c r="AB42" s="110">
        <f t="shared" si="3"/>
        <v>760</v>
      </c>
      <c r="AF42" s="112"/>
    </row>
    <row r="43" spans="1:35" ht="14.4" x14ac:dyDescent="0.3">
      <c r="A43" s="169" t="s">
        <v>174</v>
      </c>
      <c r="B43" s="169"/>
      <c r="C43" s="133">
        <f>-M8-Q8</f>
        <v>-13000</v>
      </c>
      <c r="D43" s="60">
        <f>D41</f>
        <v>3870.4460706249993</v>
      </c>
      <c r="E43" s="60">
        <f t="shared" ref="E43:W43" si="50">E41</f>
        <v>3889.2501870427004</v>
      </c>
      <c r="F43" s="60">
        <f t="shared" si="50"/>
        <v>3908.2435284662356</v>
      </c>
      <c r="G43" s="60">
        <f t="shared" si="50"/>
        <v>3927.4279871160679</v>
      </c>
      <c r="H43" s="60">
        <f t="shared" si="50"/>
        <v>3946.8054741348619</v>
      </c>
      <c r="I43" s="60">
        <f t="shared" si="50"/>
        <v>3966.3779197767167</v>
      </c>
      <c r="J43" s="60">
        <f t="shared" si="50"/>
        <v>3986.1472735982652</v>
      </c>
      <c r="K43" s="60">
        <f t="shared" si="50"/>
        <v>4006.1155046517142</v>
      </c>
      <c r="L43" s="60">
        <f t="shared" si="50"/>
        <v>4026.2846016797903</v>
      </c>
      <c r="M43" s="60">
        <f t="shared" si="50"/>
        <v>4046.6565733126467</v>
      </c>
      <c r="N43" s="60">
        <f t="shared" si="50"/>
        <v>4067.2334482667411</v>
      </c>
      <c r="O43" s="60">
        <f t="shared" si="50"/>
        <v>4059.2347660596661</v>
      </c>
      <c r="P43" s="60">
        <f t="shared" si="50"/>
        <v>4051.1572805762498</v>
      </c>
      <c r="Q43" s="60">
        <f t="shared" si="50"/>
        <v>4043.0002037541399</v>
      </c>
      <c r="R43" s="60">
        <f t="shared" si="50"/>
        <v>4034.7627396503613</v>
      </c>
      <c r="S43" s="60">
        <f t="shared" si="50"/>
        <v>4026.4440843625116</v>
      </c>
      <c r="T43" s="60">
        <f t="shared" si="50"/>
        <v>4018.0434259491631</v>
      </c>
      <c r="U43" s="60">
        <f t="shared" si="50"/>
        <v>4009.5599443494762</v>
      </c>
      <c r="V43" s="60">
        <f t="shared" si="50"/>
        <v>4000.9928113019987</v>
      </c>
      <c r="W43" s="60">
        <f t="shared" si="50"/>
        <v>3992.341190262674</v>
      </c>
      <c r="AB43" s="110">
        <f t="shared" si="3"/>
        <v>770</v>
      </c>
      <c r="AF43" s="112"/>
    </row>
    <row r="44" spans="1:35" ht="16.95" customHeight="1" x14ac:dyDescent="0.3">
      <c r="A44" s="155" t="s">
        <v>15</v>
      </c>
      <c r="B44" s="156"/>
      <c r="C44" s="125"/>
      <c r="D44" s="60">
        <f t="shared" ref="D44:W44" si="51">D41*(1+taux_actu)^-(D20-1)</f>
        <v>3870.4460706249993</v>
      </c>
      <c r="E44" s="60">
        <f t="shared" si="51"/>
        <v>3775.9710553812624</v>
      </c>
      <c r="F44" s="60">
        <f t="shared" si="51"/>
        <v>3683.8943618307435</v>
      </c>
      <c r="G44" s="60">
        <f t="shared" si="51"/>
        <v>3594.1529651194378</v>
      </c>
      <c r="H44" s="60">
        <f t="shared" si="51"/>
        <v>3506.6855444115645</v>
      </c>
      <c r="I44" s="60">
        <f t="shared" si="51"/>
        <v>3421.4324357867831</v>
      </c>
      <c r="J44" s="60">
        <f t="shared" si="51"/>
        <v>3338.3355864610189</v>
      </c>
      <c r="K44" s="60">
        <f t="shared" si="51"/>
        <v>3257.3385102933048</v>
      </c>
      <c r="L44" s="60">
        <f t="shared" si="51"/>
        <v>3178.3862445420327</v>
      </c>
      <c r="M44" s="60">
        <f t="shared" si="51"/>
        <v>3101.4253078351376</v>
      </c>
      <c r="N44" s="60">
        <f t="shared" si="51"/>
        <v>3026.4036593197065</v>
      </c>
      <c r="O44" s="60">
        <f t="shared" si="51"/>
        <v>2932.4775617109021</v>
      </c>
      <c r="P44" s="60">
        <f t="shared" si="51"/>
        <v>2841.4002080934615</v>
      </c>
      <c r="Q44" s="60">
        <f t="shared" si="51"/>
        <v>2753.0864063390727</v>
      </c>
      <c r="R44" s="60">
        <f t="shared" si="51"/>
        <v>2667.4534894363678</v>
      </c>
      <c r="S44" s="60">
        <f t="shared" si="51"/>
        <v>2584.4212410729156</v>
      </c>
      <c r="T44" s="60">
        <f t="shared" si="51"/>
        <v>2503.9118234022421</v>
      </c>
      <c r="U44" s="60">
        <f t="shared" si="51"/>
        <v>2425.8497069318787</v>
      </c>
      <c r="V44" s="60">
        <f t="shared" si="51"/>
        <v>2350.1616024703053</v>
      </c>
      <c r="W44" s="60">
        <f t="shared" si="51"/>
        <v>2276.7763950724916</v>
      </c>
      <c r="AB44" s="110">
        <f t="shared" si="3"/>
        <v>780</v>
      </c>
      <c r="AF44" s="112"/>
    </row>
    <row r="45" spans="1:35" s="67" customFormat="1" ht="16.95" customHeight="1" x14ac:dyDescent="0.3">
      <c r="A45" s="157" t="s">
        <v>16</v>
      </c>
      <c r="B45" s="158"/>
      <c r="C45" s="134">
        <f>-C11+M14</f>
        <v>-41700</v>
      </c>
      <c r="D45" s="66">
        <f>D44+C45</f>
        <v>-37829.553929375004</v>
      </c>
      <c r="E45" s="66">
        <f>D45+E44</f>
        <v>-34053.582873993742</v>
      </c>
      <c r="F45" s="66">
        <f t="shared" ref="F45:V45" si="52">E45+F44</f>
        <v>-30369.688512163</v>
      </c>
      <c r="G45" s="66">
        <f t="shared" si="52"/>
        <v>-26775.535547043561</v>
      </c>
      <c r="H45" s="66">
        <f t="shared" si="52"/>
        <v>-23268.850002631996</v>
      </c>
      <c r="I45" s="66">
        <f t="shared" si="52"/>
        <v>-19847.417566845212</v>
      </c>
      <c r="J45" s="66">
        <f t="shared" si="52"/>
        <v>-16509.081980384191</v>
      </c>
      <c r="K45" s="66">
        <f t="shared" si="52"/>
        <v>-13251.743470090887</v>
      </c>
      <c r="L45" s="66">
        <f t="shared" si="52"/>
        <v>-10073.357225548854</v>
      </c>
      <c r="M45" s="66">
        <f t="shared" si="52"/>
        <v>-6971.9319177137168</v>
      </c>
      <c r="N45" s="66">
        <f t="shared" si="52"/>
        <v>-3945.5282583940102</v>
      </c>
      <c r="O45" s="66">
        <f t="shared" si="52"/>
        <v>-1013.0506966831081</v>
      </c>
      <c r="P45" s="66">
        <f t="shared" si="52"/>
        <v>1828.3495114103534</v>
      </c>
      <c r="Q45" s="66">
        <f t="shared" si="52"/>
        <v>4581.4359177494262</v>
      </c>
      <c r="R45" s="66">
        <f t="shared" si="52"/>
        <v>7248.889407185794</v>
      </c>
      <c r="S45" s="66">
        <f t="shared" si="52"/>
        <v>9833.31064825871</v>
      </c>
      <c r="T45" s="66">
        <f t="shared" si="52"/>
        <v>12337.222471660953</v>
      </c>
      <c r="U45" s="66">
        <f t="shared" si="52"/>
        <v>14763.072178592831</v>
      </c>
      <c r="V45" s="66">
        <f t="shared" si="52"/>
        <v>17113.233781063136</v>
      </c>
      <c r="W45" s="66">
        <f>V45+W44</f>
        <v>19390.010176135627</v>
      </c>
      <c r="AA45" s="110"/>
      <c r="AB45" s="110">
        <f t="shared" si="3"/>
        <v>790</v>
      </c>
      <c r="AC45" s="110"/>
      <c r="AD45" s="110"/>
      <c r="AE45" s="110"/>
      <c r="AF45" s="112"/>
      <c r="AG45" s="110"/>
      <c r="AH45" s="110"/>
      <c r="AI45" s="110"/>
    </row>
    <row r="46" spans="1:35" ht="16.95" customHeight="1" x14ac:dyDescent="0.3">
      <c r="AB46" s="110">
        <f>AB45+10</f>
        <v>800</v>
      </c>
    </row>
    <row r="47" spans="1:35" ht="14.4" x14ac:dyDescent="0.3">
      <c r="A47" s="155" t="s">
        <v>33</v>
      </c>
      <c r="B47" s="156"/>
      <c r="C47" s="125"/>
      <c r="D47" s="60">
        <f t="shared" ref="D47:W47" si="53">IF(D20&lt;4,IF(D31&lt;0,0,$I$11*D31),$I$12*D31)</f>
        <v>1096.5356374999994</v>
      </c>
      <c r="E47" s="60">
        <f t="shared" si="53"/>
        <v>1108.084227022219</v>
      </c>
      <c r="F47" s="60">
        <f t="shared" si="53"/>
        <v>1119.7490294986226</v>
      </c>
      <c r="G47" s="60">
        <f t="shared" si="53"/>
        <v>1131.5312070405757</v>
      </c>
      <c r="H47" s="60">
        <f t="shared" si="53"/>
        <v>1143.4319333805561</v>
      </c>
      <c r="I47" s="60">
        <f t="shared" si="53"/>
        <v>1155.4523939883707</v>
      </c>
      <c r="J47" s="60">
        <f t="shared" si="53"/>
        <v>1167.5937861885207</v>
      </c>
      <c r="K47" s="60">
        <f t="shared" si="53"/>
        <v>1179.8573192787564</v>
      </c>
      <c r="L47" s="60">
        <f t="shared" si="53"/>
        <v>1192.2442146498042</v>
      </c>
      <c r="M47" s="60">
        <f t="shared" si="53"/>
        <v>1204.7557059062983</v>
      </c>
      <c r="N47" s="60">
        <f t="shared" si="53"/>
        <v>1217.3930389889199</v>
      </c>
      <c r="O47" s="60">
        <f t="shared" si="53"/>
        <v>1212.4806306908497</v>
      </c>
      <c r="P47" s="60">
        <f t="shared" si="53"/>
        <v>1207.5198251870156</v>
      </c>
      <c r="Q47" s="60">
        <f t="shared" si="53"/>
        <v>1202.5101384871889</v>
      </c>
      <c r="R47" s="60">
        <f t="shared" si="53"/>
        <v>1197.4510817612363</v>
      </c>
      <c r="S47" s="60">
        <f t="shared" si="53"/>
        <v>1192.3421612907282</v>
      </c>
      <c r="T47" s="60">
        <f t="shared" si="53"/>
        <v>1187.1828784200466</v>
      </c>
      <c r="U47" s="60">
        <f t="shared" si="53"/>
        <v>1181.9727295070213</v>
      </c>
      <c r="V47" s="60">
        <f t="shared" si="53"/>
        <v>1176.7112058730565</v>
      </c>
      <c r="W47" s="60">
        <f t="shared" si="53"/>
        <v>1171.3977937527768</v>
      </c>
      <c r="AB47" s="110">
        <f>AB46+8</f>
        <v>808</v>
      </c>
      <c r="AF47" s="112"/>
    </row>
    <row r="48" spans="1:35" ht="14.4" x14ac:dyDescent="0.3">
      <c r="A48" s="155" t="s">
        <v>48</v>
      </c>
      <c r="B48" s="156"/>
      <c r="C48" s="125"/>
      <c r="D48" s="60">
        <f t="shared" ref="D48:W48" si="54">IF(D20&lt;4,0,D34-D47)</f>
        <v>0</v>
      </c>
      <c r="E48" s="60">
        <f t="shared" si="54"/>
        <v>0</v>
      </c>
      <c r="F48" s="60">
        <f t="shared" si="54"/>
        <v>0</v>
      </c>
      <c r="G48" s="60">
        <f t="shared" si="54"/>
        <v>710.89678007549219</v>
      </c>
      <c r="H48" s="60">
        <f t="shared" si="54"/>
        <v>718.37354075430585</v>
      </c>
      <c r="I48" s="60">
        <f t="shared" si="54"/>
        <v>725.92552578834602</v>
      </c>
      <c r="J48" s="60">
        <f t="shared" si="54"/>
        <v>733.55348740974478</v>
      </c>
      <c r="K48" s="60">
        <f t="shared" si="54"/>
        <v>741.258185372958</v>
      </c>
      <c r="L48" s="60">
        <f t="shared" si="54"/>
        <v>749.04038702998582</v>
      </c>
      <c r="M48" s="60">
        <f t="shared" si="54"/>
        <v>756.90086740634842</v>
      </c>
      <c r="N48" s="60">
        <f t="shared" si="54"/>
        <v>764.84040927782144</v>
      </c>
      <c r="O48" s="60">
        <f t="shared" si="54"/>
        <v>761.75413536881661</v>
      </c>
      <c r="P48" s="60">
        <f t="shared" si="54"/>
        <v>758.63745538923399</v>
      </c>
      <c r="Q48" s="60">
        <f t="shared" si="54"/>
        <v>755.49006526695121</v>
      </c>
      <c r="R48" s="60">
        <f t="shared" si="54"/>
        <v>752.31165788912494</v>
      </c>
      <c r="S48" s="60">
        <f t="shared" si="54"/>
        <v>749.10192307178363</v>
      </c>
      <c r="T48" s="60">
        <f t="shared" si="54"/>
        <v>745.8605475291165</v>
      </c>
      <c r="U48" s="60">
        <f t="shared" si="54"/>
        <v>742.58721484245484</v>
      </c>
      <c r="V48" s="60">
        <f t="shared" si="54"/>
        <v>739.28160542894216</v>
      </c>
      <c r="W48" s="60">
        <f t="shared" si="54"/>
        <v>735.94339650989696</v>
      </c>
      <c r="AB48" s="110">
        <f t="shared" si="3"/>
        <v>818</v>
      </c>
      <c r="AF48" s="112"/>
    </row>
    <row r="49" spans="1:35" ht="14.4" x14ac:dyDescent="0.3">
      <c r="A49" s="155" t="s">
        <v>49</v>
      </c>
      <c r="B49" s="156"/>
      <c r="C49" s="125"/>
      <c r="D49" s="60">
        <f>D48*(100%-$I$14)</f>
        <v>0</v>
      </c>
      <c r="E49" s="60">
        <f t="shared" ref="E49:W49" si="55">E48*(100%-$I$14)</f>
        <v>0</v>
      </c>
      <c r="F49" s="60">
        <f t="shared" si="55"/>
        <v>0</v>
      </c>
      <c r="G49" s="60">
        <f t="shared" si="55"/>
        <v>588.6225339025076</v>
      </c>
      <c r="H49" s="60">
        <f t="shared" si="55"/>
        <v>594.81329174456528</v>
      </c>
      <c r="I49" s="60">
        <f t="shared" si="55"/>
        <v>601.06633535275057</v>
      </c>
      <c r="J49" s="60">
        <f t="shared" si="55"/>
        <v>607.38228757526872</v>
      </c>
      <c r="K49" s="60">
        <f t="shared" si="55"/>
        <v>613.76177748880923</v>
      </c>
      <c r="L49" s="60">
        <f t="shared" si="55"/>
        <v>620.2054404608283</v>
      </c>
      <c r="M49" s="60">
        <f t="shared" si="55"/>
        <v>626.71391821245652</v>
      </c>
      <c r="N49" s="60">
        <f t="shared" si="55"/>
        <v>633.28785888203618</v>
      </c>
      <c r="O49" s="60">
        <f t="shared" si="55"/>
        <v>630.73242408538022</v>
      </c>
      <c r="P49" s="60">
        <f t="shared" si="55"/>
        <v>628.15181306228578</v>
      </c>
      <c r="Q49" s="60">
        <f t="shared" si="55"/>
        <v>625.54577404103566</v>
      </c>
      <c r="R49" s="60">
        <f t="shared" si="55"/>
        <v>622.9140527321955</v>
      </c>
      <c r="S49" s="60">
        <f t="shared" si="55"/>
        <v>620.25639230343688</v>
      </c>
      <c r="T49" s="60">
        <f t="shared" si="55"/>
        <v>617.57253335410849</v>
      </c>
      <c r="U49" s="60">
        <f t="shared" si="55"/>
        <v>614.86221388955266</v>
      </c>
      <c r="V49" s="60">
        <f t="shared" si="55"/>
        <v>612.12516929516414</v>
      </c>
      <c r="W49" s="60">
        <f t="shared" si="55"/>
        <v>609.36113231019476</v>
      </c>
      <c r="AB49" s="110">
        <f t="shared" si="3"/>
        <v>828</v>
      </c>
      <c r="AF49" s="112"/>
    </row>
    <row r="50" spans="1:35" s="67" customFormat="1" ht="16.95" customHeight="1" x14ac:dyDescent="0.3">
      <c r="A50" s="157" t="s">
        <v>22</v>
      </c>
      <c r="B50" s="158"/>
      <c r="C50" s="127"/>
      <c r="D50" s="153">
        <f>(D49/$M$9)/$M$10</f>
        <v>0</v>
      </c>
      <c r="E50" s="153">
        <f t="shared" ref="E50:W50" si="56">(E49/$M$9)/$M$10</f>
        <v>0</v>
      </c>
      <c r="F50" s="153">
        <f t="shared" si="56"/>
        <v>0</v>
      </c>
      <c r="G50" s="153">
        <f t="shared" si="56"/>
        <v>4.527865645403905E-2</v>
      </c>
      <c r="H50" s="153">
        <f t="shared" si="56"/>
        <v>4.5754868595735791E-2</v>
      </c>
      <c r="I50" s="153">
        <f t="shared" si="56"/>
        <v>4.6235871950211581E-2</v>
      </c>
      <c r="J50" s="153">
        <f t="shared" si="56"/>
        <v>4.6721714428866828E-2</v>
      </c>
      <c r="K50" s="153">
        <f t="shared" si="56"/>
        <v>4.7212444422216088E-2</v>
      </c>
      <c r="L50" s="153">
        <f t="shared" si="56"/>
        <v>4.7708110804679099E-2</v>
      </c>
      <c r="M50" s="153">
        <f t="shared" si="56"/>
        <v>4.8208762939419732E-2</v>
      </c>
      <c r="N50" s="153">
        <f t="shared" si="56"/>
        <v>4.8714450683233552E-2</v>
      </c>
      <c r="O50" s="153">
        <f t="shared" si="56"/>
        <v>4.8517878775798474E-2</v>
      </c>
      <c r="P50" s="153">
        <f t="shared" si="56"/>
        <v>4.831937023556044E-2</v>
      </c>
      <c r="Q50" s="153">
        <f t="shared" si="56"/>
        <v>4.811890569546428E-2</v>
      </c>
      <c r="R50" s="153">
        <f t="shared" si="56"/>
        <v>4.7916465594784269E-2</v>
      </c>
      <c r="S50" s="153">
        <f t="shared" si="56"/>
        <v>4.7712030177187455E-2</v>
      </c>
      <c r="T50" s="153">
        <f t="shared" si="56"/>
        <v>4.7505579488777573E-2</v>
      </c>
      <c r="U50" s="153">
        <f t="shared" si="56"/>
        <v>4.7297093376119433E-2</v>
      </c>
      <c r="V50" s="153">
        <f t="shared" si="56"/>
        <v>4.70865514842434E-2</v>
      </c>
      <c r="W50" s="153">
        <f t="shared" si="56"/>
        <v>4.6873933254630365E-2</v>
      </c>
      <c r="AA50" s="110"/>
      <c r="AB50" s="110">
        <f t="shared" si="3"/>
        <v>838</v>
      </c>
      <c r="AC50" s="110"/>
      <c r="AD50" s="110"/>
      <c r="AE50" s="110"/>
      <c r="AF50" s="112"/>
      <c r="AG50" s="110"/>
      <c r="AH50" s="110"/>
      <c r="AI50" s="110"/>
    </row>
    <row r="51" spans="1:35" ht="16.95" customHeight="1" x14ac:dyDescent="0.3">
      <c r="AB51" s="110">
        <v>842</v>
      </c>
    </row>
    <row r="52" spans="1:35" ht="16.95" customHeight="1" x14ac:dyDescent="0.3">
      <c r="A52" s="166" t="s">
        <v>35</v>
      </c>
      <c r="B52" s="167"/>
      <c r="C52" s="128"/>
      <c r="D52" s="69">
        <f t="shared" ref="D52:W52" si="57">IF(D20&lt;=$M$13,D25/-PMT($M$12,$M$13,$M$11),"")</f>
        <v>1.3932542035889444</v>
      </c>
      <c r="E52" s="69">
        <f t="shared" si="57"/>
        <v>1.390734508790668</v>
      </c>
      <c r="F52" s="69">
        <f t="shared" si="57"/>
        <v>1.3881900283503299</v>
      </c>
      <c r="G52" s="69">
        <f t="shared" si="57"/>
        <v>1.3856205144012268</v>
      </c>
      <c r="H52" s="69">
        <f t="shared" si="57"/>
        <v>1.3830257165979878</v>
      </c>
      <c r="I52" s="69">
        <f t="shared" si="57"/>
        <v>1.3804053820917908</v>
      </c>
      <c r="J52" s="69">
        <f t="shared" si="57"/>
        <v>1.3777592555053231</v>
      </c>
      <c r="K52" s="69">
        <f t="shared" si="57"/>
        <v>1.3750870789075009</v>
      </c>
      <c r="L52" s="69">
        <f t="shared" si="57"/>
        <v>1.3723885917879297</v>
      </c>
      <c r="M52" s="69">
        <f t="shared" si="57"/>
        <v>1.3696635310311105</v>
      </c>
      <c r="N52" s="69" t="str">
        <f t="shared" si="57"/>
        <v/>
      </c>
      <c r="O52" s="69" t="str">
        <f t="shared" si="57"/>
        <v/>
      </c>
      <c r="P52" s="69" t="str">
        <f t="shared" si="57"/>
        <v/>
      </c>
      <c r="Q52" s="69" t="str">
        <f t="shared" si="57"/>
        <v/>
      </c>
      <c r="R52" s="69" t="str">
        <f t="shared" si="57"/>
        <v/>
      </c>
      <c r="S52" s="69" t="str">
        <f t="shared" si="57"/>
        <v/>
      </c>
      <c r="T52" s="69" t="str">
        <f t="shared" si="57"/>
        <v/>
      </c>
      <c r="U52" s="69" t="str">
        <f t="shared" si="57"/>
        <v/>
      </c>
      <c r="V52" s="69" t="str">
        <f t="shared" si="57"/>
        <v/>
      </c>
      <c r="W52" s="69" t="str">
        <f t="shared" si="57"/>
        <v/>
      </c>
      <c r="X52" s="70"/>
      <c r="AB52" s="110">
        <f t="shared" si="3"/>
        <v>852</v>
      </c>
    </row>
    <row r="53" spans="1:35" ht="16.95" customHeight="1" x14ac:dyDescent="0.3">
      <c r="AB53" s="110">
        <f t="shared" ref="AB53:AB65" si="58">AB52+10</f>
        <v>862</v>
      </c>
    </row>
    <row r="54" spans="1:35" ht="16.95" customHeight="1" x14ac:dyDescent="0.3">
      <c r="A54" s="164" t="s">
        <v>17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AB54" s="110">
        <f t="shared" si="58"/>
        <v>872</v>
      </c>
    </row>
    <row r="55" spans="1:35" ht="16.95" customHeight="1" x14ac:dyDescent="0.3">
      <c r="AB55" s="110">
        <f t="shared" si="58"/>
        <v>882</v>
      </c>
    </row>
    <row r="56" spans="1:35" ht="16.95" customHeight="1" x14ac:dyDescent="0.3">
      <c r="A56" s="165" t="s">
        <v>18</v>
      </c>
      <c r="B56" s="165"/>
      <c r="C56" s="60">
        <f>W45</f>
        <v>19390.010176135627</v>
      </c>
      <c r="D56" s="86" t="str">
        <f>IF(C56&gt;0,"OK","PB")</f>
        <v>OK</v>
      </c>
      <c r="F56" s="71"/>
      <c r="AB56" s="110">
        <f t="shared" si="58"/>
        <v>892</v>
      </c>
    </row>
    <row r="57" spans="1:35" ht="16.95" customHeight="1" x14ac:dyDescent="0.3">
      <c r="A57" s="165" t="s">
        <v>40</v>
      </c>
      <c r="B57" s="165"/>
      <c r="C57" s="60">
        <f>SUM(D47:W47)</f>
        <v>23446.19693841257</v>
      </c>
      <c r="AB57" s="110">
        <f t="shared" si="58"/>
        <v>902</v>
      </c>
    </row>
    <row r="58" spans="1:35" ht="14.4" x14ac:dyDescent="0.3">
      <c r="A58" s="165" t="s">
        <v>19</v>
      </c>
      <c r="B58" s="165"/>
      <c r="C58" s="72">
        <f>IRR(C42:W42)</f>
        <v>7.5178977286910253E-2</v>
      </c>
      <c r="D58" s="132" t="str">
        <f>IF(C58&gt;M12,"OK","PB")</f>
        <v>OK</v>
      </c>
      <c r="AB58" s="110">
        <f t="shared" si="58"/>
        <v>912</v>
      </c>
    </row>
    <row r="59" spans="1:35" ht="29.4" customHeight="1" x14ac:dyDescent="0.3">
      <c r="A59" s="165" t="s">
        <v>20</v>
      </c>
      <c r="B59" s="165"/>
      <c r="C59" s="73">
        <f>AVERAGE(D34:W34)/M8</f>
        <v>0.14683278851898843</v>
      </c>
      <c r="AB59" s="110">
        <f t="shared" si="58"/>
        <v>922</v>
      </c>
    </row>
    <row r="60" spans="1:35" ht="26.4" customHeight="1" x14ac:dyDescent="0.3">
      <c r="A60" s="165" t="s">
        <v>41</v>
      </c>
      <c r="B60" s="165"/>
      <c r="C60" s="73">
        <f>AVERAGE(D50:W50)</f>
        <v>4.0259134418048369E-2</v>
      </c>
      <c r="AB60" s="110">
        <f t="shared" si="58"/>
        <v>932</v>
      </c>
    </row>
    <row r="61" spans="1:35" ht="16.95" customHeight="1" x14ac:dyDescent="0.3">
      <c r="AB61" s="110">
        <f t="shared" si="58"/>
        <v>942</v>
      </c>
    </row>
    <row r="62" spans="1:35" ht="16.95" customHeight="1" x14ac:dyDescent="0.3">
      <c r="A62" s="74" t="s">
        <v>104</v>
      </c>
      <c r="B62" s="87">
        <f>C11/(C9*1000)</f>
        <v>1.1583333333333334</v>
      </c>
      <c r="AB62" s="110">
        <f t="shared" si="58"/>
        <v>952</v>
      </c>
    </row>
    <row r="63" spans="1:35" ht="16.95" customHeight="1" x14ac:dyDescent="0.3">
      <c r="D63" s="75"/>
      <c r="AB63" s="110">
        <f t="shared" si="58"/>
        <v>962</v>
      </c>
    </row>
    <row r="64" spans="1:35" s="76" customFormat="1" ht="16.95" customHeight="1" x14ac:dyDescent="0.3">
      <c r="AA64" s="117"/>
      <c r="AB64" s="110">
        <f t="shared" si="58"/>
        <v>972</v>
      </c>
      <c r="AC64" s="117"/>
      <c r="AD64" s="117"/>
      <c r="AE64" s="117"/>
      <c r="AF64" s="117"/>
      <c r="AG64" s="117"/>
      <c r="AH64" s="117"/>
      <c r="AI64" s="117"/>
    </row>
    <row r="65" spans="28:28" ht="16.95" customHeight="1" x14ac:dyDescent="0.3">
      <c r="AB65" s="110">
        <f t="shared" si="58"/>
        <v>982</v>
      </c>
    </row>
    <row r="66" spans="28:28" ht="16.95" customHeight="1" x14ac:dyDescent="0.3">
      <c r="AB66" s="110">
        <v>2440</v>
      </c>
    </row>
    <row r="67" spans="28:28" ht="16.95" customHeight="1" x14ac:dyDescent="0.3">
      <c r="AB67" s="41"/>
    </row>
  </sheetData>
  <mergeCells count="77">
    <mergeCell ref="A39:B39"/>
    <mergeCell ref="A38:B38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7:B47"/>
    <mergeCell ref="F14:H14"/>
    <mergeCell ref="A45:B45"/>
    <mergeCell ref="A34:B34"/>
    <mergeCell ref="A41:B41"/>
    <mergeCell ref="A44:B44"/>
    <mergeCell ref="A42:B42"/>
    <mergeCell ref="A33:B33"/>
    <mergeCell ref="A43:B43"/>
    <mergeCell ref="F15:H15"/>
    <mergeCell ref="A29:B29"/>
    <mergeCell ref="A30:B30"/>
    <mergeCell ref="A27:B27"/>
    <mergeCell ref="A28:B28"/>
    <mergeCell ref="A32:B32"/>
    <mergeCell ref="A25:B25"/>
    <mergeCell ref="A60:B60"/>
    <mergeCell ref="A48:B48"/>
    <mergeCell ref="A50:B50"/>
    <mergeCell ref="I54:K54"/>
    <mergeCell ref="L54:M54"/>
    <mergeCell ref="A56:B56"/>
    <mergeCell ref="A58:B58"/>
    <mergeCell ref="A59:B59"/>
    <mergeCell ref="A57:B57"/>
    <mergeCell ref="A54:E54"/>
    <mergeCell ref="F54:H54"/>
    <mergeCell ref="A49:B49"/>
    <mergeCell ref="A52:B52"/>
    <mergeCell ref="N54:O54"/>
    <mergeCell ref="P54:Q54"/>
    <mergeCell ref="R54:S54"/>
    <mergeCell ref="T54:U54"/>
    <mergeCell ref="V54:W54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6:C57">
    <cfRule type="cellIs" dxfId="21" priority="15" operator="lessThan">
      <formula>0</formula>
    </cfRule>
  </conditionalFormatting>
  <conditionalFormatting sqref="D56">
    <cfRule type="containsText" dxfId="20" priority="9" operator="containsText" text="PB">
      <formula>NOT(ISERROR(SEARCH("PB",D56)))</formula>
    </cfRule>
    <cfRule type="containsText" dxfId="19" priority="10" operator="containsText" text="OK">
      <formula>NOT(ISERROR(SEARCH("OK",D56)))</formula>
    </cfRule>
  </conditionalFormatting>
  <conditionalFormatting sqref="D58">
    <cfRule type="cellIs" dxfId="18" priority="7" operator="equal">
      <formula>"PB"</formula>
    </cfRule>
    <cfRule type="cellIs" dxfId="17" priority="8" operator="equal">
      <formula>"OK"</formula>
    </cfRule>
  </conditionalFormatting>
  <conditionalFormatting sqref="D39:W40">
    <cfRule type="expression" dxfId="16" priority="1" stopIfTrue="1">
      <formula>NOT(Prêt_Non_Payé)</formula>
    </cfRule>
    <cfRule type="expression" dxfId="15" priority="2" stopIfTrue="1">
      <formula>IF(ROW(D39)=Dernière_Ligne,TRUE,FALSE)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$AB$2:$AB$66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G5" sqref="G5"/>
    </sheetView>
  </sheetViews>
  <sheetFormatPr baseColWidth="10" defaultColWidth="11.5546875" defaultRowHeight="14.4" x14ac:dyDescent="0.3"/>
  <cols>
    <col min="1" max="1" width="8.88671875" style="19" customWidth="1"/>
    <col min="2" max="2" width="22" style="12" customWidth="1"/>
    <col min="3" max="3" width="9.88671875" style="10" customWidth="1"/>
    <col min="4" max="5" width="12.6640625" style="10" customWidth="1"/>
    <col min="6" max="6" width="10.6640625" style="10" customWidth="1"/>
    <col min="7" max="7" width="15.33203125" style="10" customWidth="1"/>
    <col min="8" max="8" width="16.6640625" style="10" customWidth="1"/>
    <col min="9" max="9" width="3.88671875" style="12" customWidth="1"/>
    <col min="10" max="11" width="83.88671875" style="10" customWidth="1"/>
    <col min="12" max="12" width="11.5546875" style="12"/>
    <col min="13" max="13" width="13.33203125" style="12" customWidth="1"/>
    <col min="14" max="21" width="11.5546875" style="12"/>
    <col min="22" max="22" width="14.6640625" style="12" customWidth="1"/>
    <col min="23" max="16384" width="11.5546875" style="12"/>
  </cols>
  <sheetData>
    <row r="1" spans="1:27" ht="26.4" thickBot="1" x14ac:dyDescent="0.55000000000000004">
      <c r="A1" s="176" t="s">
        <v>66</v>
      </c>
      <c r="B1" s="177"/>
      <c r="C1" s="177"/>
      <c r="D1" s="177"/>
      <c r="E1" s="177"/>
      <c r="F1" s="177"/>
      <c r="G1" s="177"/>
      <c r="H1" s="177"/>
      <c r="I1" s="100"/>
    </row>
    <row r="2" spans="1:27" x14ac:dyDescent="0.3">
      <c r="A2" s="119" t="s">
        <v>169</v>
      </c>
    </row>
    <row r="3" spans="1:27" s="98" customFormat="1" ht="33" x14ac:dyDescent="0.3">
      <c r="A3" s="118"/>
      <c r="B3" s="97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3" t="s">
        <v>150</v>
      </c>
      <c r="K3" s="102"/>
      <c r="L3" s="99"/>
      <c r="M3" s="12" t="s">
        <v>165</v>
      </c>
      <c r="N3" s="150" t="s">
        <v>185</v>
      </c>
    </row>
    <row r="4" spans="1:27" ht="15.6" x14ac:dyDescent="0.3">
      <c r="A4" s="12" t="s">
        <v>165</v>
      </c>
      <c r="B4" s="32" t="s">
        <v>69</v>
      </c>
      <c r="C4" s="34">
        <v>200</v>
      </c>
      <c r="D4" s="34">
        <v>36</v>
      </c>
      <c r="E4" s="34">
        <v>44900</v>
      </c>
      <c r="F4" s="17">
        <f>E4/D4</f>
        <v>1247.2222222222222</v>
      </c>
      <c r="G4" s="35">
        <v>11.35</v>
      </c>
      <c r="H4" s="27">
        <f>G4*E4/100</f>
        <v>5096.1499999999996</v>
      </c>
      <c r="J4" s="105" t="s">
        <v>154</v>
      </c>
      <c r="K4" s="120"/>
      <c r="M4" s="12" t="s">
        <v>164</v>
      </c>
      <c r="N4" s="149">
        <f t="shared" ref="N4:N38" si="0">IF(A4="oui",1,0)</f>
        <v>1</v>
      </c>
    </row>
    <row r="5" spans="1:27" ht="15.6" x14ac:dyDescent="0.3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4"/>
      <c r="K5" s="11"/>
      <c r="N5" s="149">
        <f t="shared" si="0"/>
        <v>1</v>
      </c>
    </row>
    <row r="6" spans="1:27" ht="15.6" x14ac:dyDescent="0.3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78" t="s">
        <v>166</v>
      </c>
      <c r="K6" s="121"/>
      <c r="N6" s="149">
        <f t="shared" si="0"/>
        <v>1</v>
      </c>
    </row>
    <row r="7" spans="1:27" ht="15.6" x14ac:dyDescent="0.3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78"/>
      <c r="K7" s="121"/>
      <c r="N7" s="149">
        <f t="shared" si="0"/>
        <v>1</v>
      </c>
    </row>
    <row r="8" spans="1:27" ht="15.6" x14ac:dyDescent="0.3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5" t="s">
        <v>172</v>
      </c>
      <c r="K8" s="120"/>
      <c r="N8" s="149">
        <f t="shared" si="0"/>
        <v>1</v>
      </c>
    </row>
    <row r="9" spans="1:27" ht="15.6" x14ac:dyDescent="0.3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5" t="s">
        <v>153</v>
      </c>
      <c r="K9" s="11"/>
      <c r="N9" s="149">
        <f t="shared" si="0"/>
        <v>1</v>
      </c>
    </row>
    <row r="10" spans="1:27" ht="15.6" x14ac:dyDescent="0.3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79" t="s">
        <v>152</v>
      </c>
      <c r="K10" s="122"/>
      <c r="N10" s="149">
        <f t="shared" si="0"/>
        <v>1</v>
      </c>
    </row>
    <row r="11" spans="1:27" ht="15.6" x14ac:dyDescent="0.3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0"/>
      <c r="K11" s="122"/>
      <c r="N11" s="149">
        <f t="shared" si="0"/>
        <v>1</v>
      </c>
    </row>
    <row r="12" spans="1:27" ht="15.6" x14ac:dyDescent="0.3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0"/>
      <c r="N12" s="149">
        <f t="shared" si="0"/>
        <v>1</v>
      </c>
    </row>
    <row r="13" spans="1:27" ht="15.6" x14ac:dyDescent="0.3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3"/>
      <c r="N13" s="149">
        <f t="shared" si="0"/>
        <v>1</v>
      </c>
    </row>
    <row r="14" spans="1:27" ht="15.6" x14ac:dyDescent="0.3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3"/>
      <c r="N14" s="149">
        <f t="shared" si="0"/>
        <v>1</v>
      </c>
    </row>
    <row r="15" spans="1:27" ht="15.6" x14ac:dyDescent="0.3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49">
        <f t="shared" si="0"/>
        <v>1</v>
      </c>
    </row>
    <row r="16" spans="1:27" ht="15.6" x14ac:dyDescent="0.3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49">
        <f t="shared" si="0"/>
        <v>1</v>
      </c>
      <c r="T16"/>
      <c r="U16"/>
      <c r="V16"/>
      <c r="W16"/>
      <c r="X16"/>
      <c r="Y16"/>
      <c r="Z16"/>
      <c r="AA16"/>
    </row>
    <row r="17" spans="1:27" ht="15.6" x14ac:dyDescent="0.3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49">
        <f t="shared" si="0"/>
        <v>1</v>
      </c>
      <c r="T17"/>
      <c r="U17"/>
      <c r="V17"/>
      <c r="W17"/>
      <c r="X17"/>
      <c r="Y17"/>
      <c r="Z17"/>
      <c r="AA17"/>
    </row>
    <row r="18" spans="1:27" ht="15.6" x14ac:dyDescent="0.3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49">
        <f t="shared" si="0"/>
        <v>1</v>
      </c>
      <c r="T18"/>
      <c r="U18"/>
      <c r="V18"/>
      <c r="W18"/>
      <c r="X18"/>
      <c r="Y18"/>
      <c r="Z18"/>
      <c r="AA18"/>
    </row>
    <row r="19" spans="1:27" ht="15.6" x14ac:dyDescent="0.3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49">
        <f t="shared" si="0"/>
        <v>1</v>
      </c>
      <c r="T19"/>
      <c r="U19"/>
      <c r="V19"/>
      <c r="W19"/>
      <c r="X19"/>
      <c r="Y19"/>
      <c r="Z19"/>
      <c r="AA19"/>
    </row>
    <row r="20" spans="1:27" ht="15.6" x14ac:dyDescent="0.3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49">
        <f t="shared" si="0"/>
        <v>1</v>
      </c>
      <c r="T20"/>
      <c r="U20"/>
      <c r="V20"/>
      <c r="W20"/>
      <c r="X20"/>
      <c r="Y20"/>
      <c r="Z20"/>
      <c r="AA20"/>
    </row>
    <row r="21" spans="1:27" ht="15.6" x14ac:dyDescent="0.3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49">
        <f t="shared" si="0"/>
        <v>1</v>
      </c>
      <c r="T21"/>
      <c r="U21"/>
      <c r="V21"/>
      <c r="W21"/>
      <c r="X21"/>
      <c r="Y21"/>
      <c r="Z21"/>
      <c r="AA21"/>
    </row>
    <row r="22" spans="1:27" ht="15.6" x14ac:dyDescent="0.3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49">
        <f t="shared" si="0"/>
        <v>1</v>
      </c>
    </row>
    <row r="23" spans="1:27" ht="15.6" x14ac:dyDescent="0.3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49">
        <f t="shared" si="0"/>
        <v>1</v>
      </c>
    </row>
    <row r="24" spans="1:27" ht="15.6" x14ac:dyDescent="0.3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49">
        <f t="shared" si="0"/>
        <v>1</v>
      </c>
    </row>
    <row r="25" spans="1:27" ht="15.6" x14ac:dyDescent="0.3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49">
        <f t="shared" si="0"/>
        <v>1</v>
      </c>
    </row>
    <row r="26" spans="1:27" ht="15.6" x14ac:dyDescent="0.3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49">
        <f t="shared" si="0"/>
        <v>1</v>
      </c>
    </row>
    <row r="27" spans="1:27" ht="15.6" x14ac:dyDescent="0.3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49">
        <f t="shared" si="0"/>
        <v>1</v>
      </c>
    </row>
    <row r="28" spans="1:27" ht="15.6" x14ac:dyDescent="0.3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49">
        <f t="shared" si="0"/>
        <v>1</v>
      </c>
    </row>
    <row r="29" spans="1:27" ht="15.6" x14ac:dyDescent="0.3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49">
        <f t="shared" si="0"/>
        <v>1</v>
      </c>
    </row>
    <row r="30" spans="1:27" ht="15.6" x14ac:dyDescent="0.3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49">
        <f t="shared" si="0"/>
        <v>1</v>
      </c>
    </row>
    <row r="31" spans="1:27" ht="15.6" x14ac:dyDescent="0.3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49">
        <f t="shared" si="0"/>
        <v>1</v>
      </c>
    </row>
    <row r="32" spans="1:27" ht="15.6" x14ac:dyDescent="0.3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49">
        <f t="shared" si="0"/>
        <v>1</v>
      </c>
    </row>
    <row r="33" spans="1:14" ht="15.6" x14ac:dyDescent="0.3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49">
        <f t="shared" si="0"/>
        <v>1</v>
      </c>
    </row>
    <row r="34" spans="1:14" ht="15.6" x14ac:dyDescent="0.3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49">
        <f t="shared" si="0"/>
        <v>1</v>
      </c>
    </row>
    <row r="35" spans="1:14" ht="15.6" x14ac:dyDescent="0.3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49">
        <f t="shared" si="0"/>
        <v>1</v>
      </c>
    </row>
    <row r="36" spans="1:14" ht="15.6" x14ac:dyDescent="0.3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49">
        <f t="shared" si="0"/>
        <v>1</v>
      </c>
    </row>
    <row r="37" spans="1:14" ht="15.6" x14ac:dyDescent="0.3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49">
        <f t="shared" si="0"/>
        <v>1</v>
      </c>
    </row>
    <row r="38" spans="1:14" ht="15.6" x14ac:dyDescent="0.3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49">
        <f t="shared" si="0"/>
        <v>1</v>
      </c>
    </row>
    <row r="39" spans="1:14" ht="18" x14ac:dyDescent="0.35">
      <c r="A39" s="137"/>
      <c r="B39" s="138"/>
      <c r="C39" s="135">
        <f>SUMPRODUCT(C4:C38,$N$4:$N$38)</f>
        <v>200</v>
      </c>
      <c r="D39" s="135">
        <f t="shared" ref="D39:E39" si="8">SUMPRODUCT(D4:D38,$N$4:$N$38)</f>
        <v>36</v>
      </c>
      <c r="E39" s="135">
        <f t="shared" si="8"/>
        <v>44900</v>
      </c>
      <c r="G39" s="136"/>
      <c r="H39" s="135">
        <f>SUMPRODUCT(H4:H38,$N$4:$N$38)</f>
        <v>5096.1499999999996</v>
      </c>
      <c r="N39" s="98"/>
    </row>
    <row r="40" spans="1:14" customFormat="1" ht="6.75" customHeight="1" x14ac:dyDescent="0.3">
      <c r="F40" s="10"/>
      <c r="K40" s="12"/>
    </row>
    <row r="41" spans="1:14" x14ac:dyDescent="0.3">
      <c r="B41"/>
      <c r="N41" s="98"/>
    </row>
    <row r="42" spans="1:14" x14ac:dyDescent="0.3">
      <c r="B42"/>
      <c r="C42" s="2"/>
      <c r="D42" s="12"/>
      <c r="E42" s="12"/>
      <c r="F42" s="12"/>
      <c r="G42" s="12"/>
      <c r="H42" s="12"/>
      <c r="N42" s="98"/>
    </row>
    <row r="43" spans="1:14" x14ac:dyDescent="0.3">
      <c r="B43"/>
      <c r="D43" s="12"/>
      <c r="E43" s="12"/>
      <c r="F43" s="12"/>
      <c r="G43" s="12"/>
      <c r="H43" s="12"/>
      <c r="N43" s="98"/>
    </row>
    <row r="44" spans="1:14" x14ac:dyDescent="0.3">
      <c r="N44" s="98"/>
    </row>
    <row r="45" spans="1:14" x14ac:dyDescent="0.3">
      <c r="N45" s="98"/>
    </row>
    <row r="50" spans="1:11" x14ac:dyDescent="0.3">
      <c r="E50" s="12"/>
      <c r="F50" s="12"/>
    </row>
    <row r="52" spans="1:11" x14ac:dyDescent="0.3">
      <c r="A52" s="20"/>
      <c r="B52" s="21"/>
    </row>
    <row r="53" spans="1:11" s="22" customFormat="1" x14ac:dyDescent="0.3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14" priority="2" operator="equal">
      <formula>"Oui"</formula>
    </cfRule>
  </conditionalFormatting>
  <conditionalFormatting sqref="A4:A38">
    <cfRule type="cellIs" dxfId="13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7" zoomScale="70" zoomScaleNormal="70" workbookViewId="0">
      <selection activeCell="D46" sqref="D46"/>
    </sheetView>
  </sheetViews>
  <sheetFormatPr baseColWidth="10" defaultColWidth="11.5546875" defaultRowHeight="14.4" x14ac:dyDescent="0.3"/>
  <cols>
    <col min="1" max="1" width="7.6640625" style="12" customWidth="1"/>
    <col min="2" max="2" width="24.33203125" style="12" customWidth="1"/>
    <col min="3" max="3" width="10.5546875" style="12" customWidth="1"/>
    <col min="4" max="4" width="17.44140625" style="12" customWidth="1"/>
    <col min="5" max="5" width="16.44140625" style="12" customWidth="1"/>
    <col min="6" max="6" width="12.33203125" style="12" customWidth="1"/>
    <col min="7" max="7" width="11.88671875" style="12" customWidth="1"/>
    <col min="8" max="8" width="14.109375" style="12" customWidth="1"/>
    <col min="9" max="9" width="21.109375" style="12" customWidth="1"/>
    <col min="10" max="10" width="22" style="12" customWidth="1"/>
    <col min="11" max="11" width="15.33203125" style="12" customWidth="1"/>
    <col min="12" max="12" width="16.6640625" style="12" customWidth="1"/>
    <col min="13" max="13" width="15.88671875" style="12" customWidth="1"/>
    <col min="14" max="14" width="2" style="12" customWidth="1"/>
    <col min="15" max="15" width="28.109375" style="12" customWidth="1"/>
    <col min="16" max="16" width="119.44140625" style="12" customWidth="1"/>
    <col min="17" max="17" width="3.88671875" customWidth="1"/>
    <col min="18" max="18" width="13.109375" customWidth="1"/>
    <col min="19" max="23" width="17.44140625" style="12" customWidth="1"/>
    <col min="24" max="16384" width="11.5546875" style="12"/>
  </cols>
  <sheetData>
    <row r="1" spans="1:29" ht="25.8" x14ac:dyDescent="0.5">
      <c r="B1" s="181" t="s">
        <v>102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P1" s="106"/>
    </row>
    <row r="3" spans="1:29" s="18" customFormat="1" ht="32.25" customHeight="1" x14ac:dyDescent="0.3">
      <c r="A3" s="12"/>
      <c r="C3" s="139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0" t="s">
        <v>176</v>
      </c>
      <c r="P3" s="144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6" x14ac:dyDescent="0.3">
      <c r="A4" s="12" t="str">
        <f>ENCAISSEMENTS!A4</f>
        <v>oui</v>
      </c>
      <c r="B4" s="1" t="str">
        <f>ENCAISSEMENTS!B4</f>
        <v>INSTALL 1</v>
      </c>
      <c r="C4" s="36">
        <v>36000</v>
      </c>
      <c r="D4" s="37">
        <v>1700</v>
      </c>
      <c r="E4" s="34"/>
      <c r="F4" s="34"/>
      <c r="G4" s="34"/>
      <c r="H4" s="34"/>
      <c r="I4" s="34"/>
      <c r="J4" s="34"/>
      <c r="K4" s="34">
        <v>2000</v>
      </c>
      <c r="L4" s="34">
        <v>2000</v>
      </c>
      <c r="M4" s="28">
        <f>SUM(C4:L4)</f>
        <v>41700</v>
      </c>
      <c r="N4" s="26"/>
      <c r="O4" s="91" t="s">
        <v>101</v>
      </c>
      <c r="P4" s="88" t="s">
        <v>177</v>
      </c>
    </row>
    <row r="5" spans="1:29" x14ac:dyDescent="0.3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2"/>
      <c r="P5" s="89" t="s">
        <v>179</v>
      </c>
    </row>
    <row r="6" spans="1:29" ht="15.6" x14ac:dyDescent="0.3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1" t="s">
        <v>53</v>
      </c>
      <c r="P6" s="88" t="s">
        <v>178</v>
      </c>
    </row>
    <row r="7" spans="1:29" ht="14.4" customHeight="1" x14ac:dyDescent="0.3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2"/>
      <c r="P7" s="89" t="s">
        <v>107</v>
      </c>
    </row>
    <row r="8" spans="1:29" ht="15" customHeight="1" x14ac:dyDescent="0.3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1" t="s">
        <v>54</v>
      </c>
      <c r="P8" s="88" t="s">
        <v>108</v>
      </c>
      <c r="Q8" s="12"/>
      <c r="R8" s="12"/>
    </row>
    <row r="9" spans="1:29" x14ac:dyDescent="0.3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2"/>
      <c r="P9" s="89" t="s">
        <v>109</v>
      </c>
      <c r="Q9" s="12"/>
      <c r="R9" s="12"/>
    </row>
    <row r="10" spans="1:29" ht="15.6" x14ac:dyDescent="0.3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1" t="s">
        <v>55</v>
      </c>
      <c r="P10" s="88" t="s">
        <v>180</v>
      </c>
      <c r="Q10" s="12"/>
      <c r="R10" s="12"/>
    </row>
    <row r="11" spans="1:29" x14ac:dyDescent="0.3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2"/>
      <c r="P11" s="89" t="s">
        <v>110</v>
      </c>
      <c r="Q11" s="12"/>
      <c r="R11" s="12"/>
    </row>
    <row r="12" spans="1:29" ht="15.6" x14ac:dyDescent="0.3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1" t="s">
        <v>56</v>
      </c>
      <c r="P12" s="88" t="s">
        <v>111</v>
      </c>
      <c r="Q12" s="12"/>
      <c r="R12" s="12"/>
    </row>
    <row r="13" spans="1:29" x14ac:dyDescent="0.3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2"/>
      <c r="P13" s="89" t="s">
        <v>112</v>
      </c>
      <c r="Q13" s="12"/>
      <c r="R13" s="12"/>
    </row>
    <row r="14" spans="1:29" ht="14.4" customHeight="1" x14ac:dyDescent="0.3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1" t="s">
        <v>57</v>
      </c>
      <c r="P14" s="88" t="s">
        <v>113</v>
      </c>
      <c r="Q14" s="12"/>
      <c r="R14" s="12"/>
    </row>
    <row r="15" spans="1:29" ht="15" customHeight="1" x14ac:dyDescent="0.3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2"/>
      <c r="P15" s="89" t="s">
        <v>159</v>
      </c>
      <c r="Q15" s="12"/>
      <c r="R15" s="12"/>
    </row>
    <row r="16" spans="1:29" ht="15.6" x14ac:dyDescent="0.3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1" t="s">
        <v>67</v>
      </c>
      <c r="P16" s="88" t="s">
        <v>181</v>
      </c>
      <c r="Q16" s="12"/>
      <c r="R16" s="12"/>
    </row>
    <row r="17" spans="1:18" ht="15" customHeight="1" x14ac:dyDescent="0.3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4"/>
      <c r="P17" s="90"/>
    </row>
    <row r="18" spans="1:18" ht="15.6" x14ac:dyDescent="0.3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1" t="s">
        <v>115</v>
      </c>
      <c r="P18" s="88" t="s">
        <v>116</v>
      </c>
    </row>
    <row r="19" spans="1:18" x14ac:dyDescent="0.3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3"/>
      <c r="P19" s="89" t="s">
        <v>114</v>
      </c>
    </row>
    <row r="20" spans="1:18" x14ac:dyDescent="0.3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3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3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" customHeight="1" x14ac:dyDescent="0.3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3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3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3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3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3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3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3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3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3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3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3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3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3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3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" thickBot="1" x14ac:dyDescent="0.35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2">
        <f t="shared" si="0"/>
        <v>0</v>
      </c>
      <c r="N38" s="26"/>
    </row>
    <row r="39" spans="1:22" ht="18.600000000000001" thickBot="1" x14ac:dyDescent="0.4">
      <c r="A39" s="182" t="s">
        <v>167</v>
      </c>
      <c r="B39" s="183"/>
      <c r="C39" s="141">
        <f>SUMPRODUCT(C4:C38,ENCAISSEMENTS!$N$4:$N$38)</f>
        <v>36000</v>
      </c>
      <c r="D39" s="141">
        <f>SUMPRODUCT(D4:D38,ENCAISSEMENTS!$N$4:$N$38)</f>
        <v>1700</v>
      </c>
      <c r="E39" s="141">
        <f>SUMPRODUCT(E4:E38,ENCAISSEMENTS!$N$4:$N$38)</f>
        <v>0</v>
      </c>
      <c r="F39" s="141">
        <f>SUMPRODUCT(F4:F38,ENCAISSEMENTS!$N$4:$N$38)</f>
        <v>0</v>
      </c>
      <c r="G39" s="141">
        <f>SUMPRODUCT(G4:G38,ENCAISSEMENTS!$N$4:$N$38)</f>
        <v>0</v>
      </c>
      <c r="H39" s="141">
        <f>SUMPRODUCT(H4:H38,ENCAISSEMENTS!$N$4:$N$38)</f>
        <v>0</v>
      </c>
      <c r="I39" s="141">
        <f>SUMPRODUCT(I4:I38,ENCAISSEMENTS!$N$4:$N$38)</f>
        <v>0</v>
      </c>
      <c r="J39" s="141">
        <f>SUMPRODUCT(J4:J38,ENCAISSEMENTS!$N$4:$N$38)</f>
        <v>0</v>
      </c>
      <c r="K39" s="141">
        <f>SUMPRODUCT(K4:K38,ENCAISSEMENTS!$N$4:$N$38)</f>
        <v>2000</v>
      </c>
      <c r="L39" s="141">
        <f>SUMPRODUCT(L4:L38,ENCAISSEMENTS!$N$4:$N$38)</f>
        <v>2000</v>
      </c>
      <c r="M39" s="143">
        <f>SUM(C39:L39)</f>
        <v>41700</v>
      </c>
    </row>
    <row r="42" spans="1:22" ht="25.8" x14ac:dyDescent="0.5">
      <c r="B42" s="181" t="s">
        <v>103</v>
      </c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O42" s="140" t="s">
        <v>106</v>
      </c>
      <c r="P42" s="107"/>
    </row>
    <row r="44" spans="1:22" s="13" customFormat="1" ht="31.2" x14ac:dyDescent="0.3">
      <c r="A44" s="12"/>
      <c r="C44" s="17" t="s">
        <v>58</v>
      </c>
      <c r="D44" s="17" t="s">
        <v>59</v>
      </c>
      <c r="E44" s="17" t="s">
        <v>60</v>
      </c>
      <c r="F44" s="101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1" t="s">
        <v>117</v>
      </c>
      <c r="P44" s="88" t="s">
        <v>122</v>
      </c>
      <c r="Q44" s="12"/>
      <c r="R44" s="12"/>
      <c r="S44" s="12"/>
      <c r="T44" s="12"/>
      <c r="U44" s="12"/>
      <c r="V44" s="12"/>
    </row>
    <row r="45" spans="1:22" ht="15.6" x14ac:dyDescent="0.3">
      <c r="A45" s="12" t="str">
        <f>ENCAISSEMENTS!A4</f>
        <v>oui</v>
      </c>
      <c r="B45" s="1" t="str">
        <f>ENCAISSEMENTS!B4</f>
        <v>INSTALL 1</v>
      </c>
      <c r="C45" s="16">
        <v>200</v>
      </c>
      <c r="D45" s="34">
        <v>300</v>
      </c>
      <c r="E45" s="34">
        <v>220</v>
      </c>
      <c r="F45" s="34">
        <v>200</v>
      </c>
      <c r="G45" s="39">
        <v>42</v>
      </c>
      <c r="H45" s="39"/>
      <c r="I45" s="39"/>
      <c r="J45" s="39"/>
      <c r="K45" s="108">
        <f>SUM(D45:J45)</f>
        <v>762</v>
      </c>
      <c r="O45" s="94"/>
      <c r="P45" s="90" t="s">
        <v>123</v>
      </c>
      <c r="R45" s="12"/>
    </row>
    <row r="46" spans="1:22" ht="15.6" x14ac:dyDescent="0.3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08">
        <f t="shared" ref="K46:K79" si="1">SUM(D46:J46)</f>
        <v>0</v>
      </c>
      <c r="O46" s="91" t="s">
        <v>118</v>
      </c>
      <c r="P46" s="88" t="s">
        <v>183</v>
      </c>
      <c r="R46" s="12"/>
    </row>
    <row r="47" spans="1:22" ht="15.6" x14ac:dyDescent="0.3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08">
        <f t="shared" si="1"/>
        <v>0</v>
      </c>
      <c r="O47" s="94"/>
      <c r="P47" s="90" t="s">
        <v>195</v>
      </c>
      <c r="R47" s="12"/>
    </row>
    <row r="48" spans="1:22" ht="15.6" x14ac:dyDescent="0.3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08">
        <f t="shared" si="1"/>
        <v>0</v>
      </c>
      <c r="O48" s="95"/>
      <c r="P48" s="90" t="s">
        <v>196</v>
      </c>
      <c r="R48" s="12"/>
    </row>
    <row r="49" spans="1:28" ht="15.6" x14ac:dyDescent="0.3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08">
        <f t="shared" si="1"/>
        <v>0</v>
      </c>
      <c r="O49" s="95"/>
      <c r="P49" s="90" t="s">
        <v>197</v>
      </c>
      <c r="R49" s="12"/>
    </row>
    <row r="50" spans="1:28" ht="15.6" x14ac:dyDescent="0.3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08">
        <f t="shared" si="1"/>
        <v>0</v>
      </c>
      <c r="O50" s="95"/>
      <c r="P50" s="90" t="s">
        <v>198</v>
      </c>
      <c r="R50" s="12"/>
    </row>
    <row r="51" spans="1:28" ht="15.6" x14ac:dyDescent="0.3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08">
        <f t="shared" si="1"/>
        <v>0</v>
      </c>
      <c r="O51" s="95"/>
      <c r="P51" s="90" t="s">
        <v>199</v>
      </c>
      <c r="S51"/>
      <c r="T51"/>
      <c r="U51"/>
      <c r="V51"/>
      <c r="W51"/>
      <c r="X51"/>
      <c r="Y51"/>
      <c r="Z51"/>
      <c r="AA51"/>
      <c r="AB51"/>
    </row>
    <row r="52" spans="1:28" ht="15.6" x14ac:dyDescent="0.3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08">
        <f t="shared" si="1"/>
        <v>0</v>
      </c>
      <c r="O52" s="145"/>
      <c r="P52" s="90" t="s">
        <v>200</v>
      </c>
      <c r="S52"/>
      <c r="T52"/>
      <c r="U52"/>
      <c r="V52"/>
      <c r="W52"/>
      <c r="X52"/>
      <c r="Y52"/>
      <c r="Z52"/>
      <c r="AA52"/>
      <c r="AB52"/>
    </row>
    <row r="53" spans="1:28" ht="15.6" x14ac:dyDescent="0.3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08">
        <f t="shared" si="1"/>
        <v>0</v>
      </c>
      <c r="O53" s="145"/>
      <c r="P53" s="90" t="s">
        <v>201</v>
      </c>
      <c r="S53"/>
      <c r="T53"/>
      <c r="U53"/>
      <c r="V53"/>
      <c r="W53"/>
      <c r="X53"/>
      <c r="Y53"/>
      <c r="Z53"/>
      <c r="AA53"/>
      <c r="AB53"/>
    </row>
    <row r="54" spans="1:28" ht="15.6" x14ac:dyDescent="0.3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08">
        <f t="shared" si="1"/>
        <v>0</v>
      </c>
      <c r="O54" s="145"/>
      <c r="P54" s="90" t="s">
        <v>202</v>
      </c>
      <c r="S54"/>
      <c r="T54"/>
      <c r="U54"/>
      <c r="V54"/>
      <c r="W54"/>
      <c r="X54"/>
      <c r="Y54"/>
      <c r="Z54"/>
      <c r="AA54"/>
      <c r="AB54"/>
    </row>
    <row r="55" spans="1:28" ht="15.6" x14ac:dyDescent="0.3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08">
        <f t="shared" si="1"/>
        <v>0</v>
      </c>
      <c r="O55" s="145"/>
      <c r="P55" s="90" t="s">
        <v>203</v>
      </c>
      <c r="S55"/>
      <c r="T55"/>
      <c r="U55"/>
      <c r="V55"/>
      <c r="W55"/>
      <c r="X55"/>
      <c r="Y55"/>
      <c r="Z55"/>
      <c r="AA55"/>
      <c r="AB55"/>
    </row>
    <row r="56" spans="1:28" ht="15.6" x14ac:dyDescent="0.3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08">
        <f t="shared" si="1"/>
        <v>0</v>
      </c>
      <c r="O56" s="145"/>
      <c r="P56" s="90" t="s">
        <v>204</v>
      </c>
      <c r="S56"/>
      <c r="T56"/>
      <c r="U56"/>
      <c r="V56"/>
      <c r="W56"/>
      <c r="X56"/>
      <c r="Y56"/>
      <c r="Z56"/>
      <c r="AA56"/>
      <c r="AB56"/>
    </row>
    <row r="57" spans="1:28" ht="15.6" x14ac:dyDescent="0.3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08">
        <f t="shared" si="1"/>
        <v>0</v>
      </c>
      <c r="O57" s="109"/>
      <c r="P57" s="89" t="s">
        <v>194</v>
      </c>
      <c r="Q57" s="12"/>
      <c r="R57" s="12"/>
    </row>
    <row r="58" spans="1:28" ht="15.6" x14ac:dyDescent="0.3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08">
        <f t="shared" si="1"/>
        <v>0</v>
      </c>
      <c r="O58" s="96" t="s">
        <v>119</v>
      </c>
      <c r="P58" s="90" t="s">
        <v>160</v>
      </c>
      <c r="R58" s="12"/>
    </row>
    <row r="59" spans="1:28" ht="15.6" x14ac:dyDescent="0.3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08">
        <f t="shared" si="1"/>
        <v>0</v>
      </c>
      <c r="O59" s="92"/>
      <c r="P59" s="89" t="s">
        <v>124</v>
      </c>
      <c r="Q59" s="12"/>
      <c r="R59" s="12"/>
    </row>
    <row r="60" spans="1:28" ht="15.6" x14ac:dyDescent="0.3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08">
        <f t="shared" si="1"/>
        <v>0</v>
      </c>
      <c r="O60" s="91" t="s">
        <v>36</v>
      </c>
      <c r="P60" s="88" t="s">
        <v>125</v>
      </c>
      <c r="Q60" s="12"/>
      <c r="R60" s="12"/>
    </row>
    <row r="61" spans="1:28" ht="15.6" x14ac:dyDescent="0.3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08">
        <f t="shared" si="1"/>
        <v>0</v>
      </c>
      <c r="O61" s="92"/>
      <c r="P61" s="89" t="s">
        <v>205</v>
      </c>
      <c r="Q61" s="12"/>
      <c r="R61" s="12"/>
    </row>
    <row r="62" spans="1:28" ht="15.6" x14ac:dyDescent="0.3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08">
        <f t="shared" si="1"/>
        <v>0</v>
      </c>
      <c r="O62" s="91" t="s">
        <v>68</v>
      </c>
      <c r="P62" s="88" t="s">
        <v>184</v>
      </c>
      <c r="Q62" s="12"/>
      <c r="R62" s="12"/>
    </row>
    <row r="63" spans="1:28" ht="15.6" x14ac:dyDescent="0.3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08">
        <f t="shared" si="1"/>
        <v>0</v>
      </c>
      <c r="O63" s="92"/>
      <c r="P63" s="89" t="s">
        <v>126</v>
      </c>
      <c r="Q63" s="12"/>
      <c r="R63" s="12"/>
    </row>
    <row r="64" spans="1:28" ht="15.6" x14ac:dyDescent="0.3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08">
        <f t="shared" si="1"/>
        <v>0</v>
      </c>
      <c r="O64" s="91" t="s">
        <v>120</v>
      </c>
      <c r="P64" s="88" t="s">
        <v>127</v>
      </c>
      <c r="Q64" s="12"/>
      <c r="R64" s="12"/>
    </row>
    <row r="65" spans="1:18" ht="15.6" x14ac:dyDescent="0.3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08">
        <f t="shared" si="1"/>
        <v>0</v>
      </c>
      <c r="O65" s="92"/>
      <c r="P65" s="89" t="s">
        <v>128</v>
      </c>
      <c r="Q65" s="12"/>
      <c r="R65" s="12"/>
    </row>
    <row r="66" spans="1:18" ht="15.6" x14ac:dyDescent="0.3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08">
        <f t="shared" si="1"/>
        <v>0</v>
      </c>
      <c r="O66" s="91" t="s">
        <v>121</v>
      </c>
      <c r="P66" s="88" t="s">
        <v>129</v>
      </c>
      <c r="Q66" s="12"/>
      <c r="R66" s="12"/>
    </row>
    <row r="67" spans="1:18" ht="15.6" x14ac:dyDescent="0.3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08">
        <f t="shared" si="1"/>
        <v>0</v>
      </c>
      <c r="O67" s="109"/>
      <c r="P67" s="89"/>
      <c r="Q67" s="12"/>
      <c r="R67" s="12"/>
    </row>
    <row r="68" spans="1:18" ht="15.6" x14ac:dyDescent="0.3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08">
        <f t="shared" si="1"/>
        <v>0</v>
      </c>
      <c r="Q68" s="12"/>
      <c r="R68" s="12"/>
    </row>
    <row r="69" spans="1:18" ht="15.6" x14ac:dyDescent="0.3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08">
        <f t="shared" si="1"/>
        <v>0</v>
      </c>
      <c r="Q69" s="12"/>
      <c r="R69" s="12"/>
    </row>
    <row r="70" spans="1:18" ht="15.6" x14ac:dyDescent="0.3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08">
        <f t="shared" si="1"/>
        <v>0</v>
      </c>
      <c r="Q70" s="12"/>
      <c r="R70" s="12"/>
    </row>
    <row r="71" spans="1:18" ht="15.6" x14ac:dyDescent="0.3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08">
        <f t="shared" si="1"/>
        <v>0</v>
      </c>
      <c r="Q71" s="12"/>
      <c r="R71" s="12"/>
    </row>
    <row r="72" spans="1:18" ht="15.6" x14ac:dyDescent="0.3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08">
        <f t="shared" si="1"/>
        <v>0</v>
      </c>
      <c r="Q72" s="12"/>
      <c r="R72" s="12"/>
    </row>
    <row r="73" spans="1:18" ht="15.6" x14ac:dyDescent="0.3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08">
        <f t="shared" si="1"/>
        <v>0</v>
      </c>
      <c r="Q73" s="12"/>
      <c r="R73" s="12"/>
    </row>
    <row r="74" spans="1:18" ht="15.6" x14ac:dyDescent="0.3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08">
        <f t="shared" si="1"/>
        <v>0</v>
      </c>
      <c r="Q74" s="12"/>
      <c r="R74" s="12"/>
    </row>
    <row r="75" spans="1:18" ht="15.6" x14ac:dyDescent="0.3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08">
        <f t="shared" si="1"/>
        <v>0</v>
      </c>
      <c r="Q75" s="12"/>
      <c r="R75" s="12"/>
    </row>
    <row r="76" spans="1:18" ht="15.6" x14ac:dyDescent="0.3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08">
        <f t="shared" si="1"/>
        <v>0</v>
      </c>
      <c r="R76" s="12"/>
    </row>
    <row r="77" spans="1:18" ht="15.6" x14ac:dyDescent="0.3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08">
        <f t="shared" si="1"/>
        <v>0</v>
      </c>
      <c r="R77" s="12"/>
    </row>
    <row r="78" spans="1:18" ht="15.6" x14ac:dyDescent="0.3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08">
        <f t="shared" si="1"/>
        <v>0</v>
      </c>
      <c r="Q78" s="12"/>
      <c r="R78" s="12"/>
    </row>
    <row r="79" spans="1:18" ht="16.2" thickBot="1" x14ac:dyDescent="0.35">
      <c r="A79" s="12" t="str">
        <f>ENCAISSEMENTS!A38</f>
        <v>oui</v>
      </c>
      <c r="B79" s="146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47">
        <f t="shared" si="1"/>
        <v>0</v>
      </c>
      <c r="R79" s="12"/>
    </row>
    <row r="80" spans="1:18" ht="18.600000000000001" thickBot="1" x14ac:dyDescent="0.4">
      <c r="A80" s="182" t="s">
        <v>167</v>
      </c>
      <c r="B80" s="183"/>
      <c r="C80" s="141">
        <f>SUMPRODUCT(C45:C79,ENCAISSEMENTS!$N$4:$N$38)</f>
        <v>200</v>
      </c>
      <c r="D80" s="141">
        <f>SUMPRODUCT(D45:D79,ENCAISSEMENTS!$N$4:$N$38)</f>
        <v>300</v>
      </c>
      <c r="E80" s="141">
        <f>SUMPRODUCT(E45:E79,ENCAISSEMENTS!$N$4:$N$38)</f>
        <v>220</v>
      </c>
      <c r="F80" s="141">
        <f>SUMPRODUCT(F45:F79,ENCAISSEMENTS!$N$4:$N$38)</f>
        <v>200</v>
      </c>
      <c r="G80" s="141">
        <f>SUMPRODUCT(G45:G79,ENCAISSEMENTS!$N$4:$N$38)</f>
        <v>42</v>
      </c>
      <c r="H80" s="141">
        <f>SUMPRODUCT(H45:H79,ENCAISSEMENTS!$N$4:$N$38)</f>
        <v>0</v>
      </c>
      <c r="I80" s="141">
        <f>SUMPRODUCT(I45:I79,ENCAISSEMENTS!$N$4:$N$38)</f>
        <v>0</v>
      </c>
      <c r="J80" s="141">
        <f>SUMPRODUCT(J45:J79,ENCAISSEMENTS!$N$4:$N$38)</f>
        <v>0</v>
      </c>
      <c r="K80" s="148">
        <f>SUM(D80:J80)</f>
        <v>762</v>
      </c>
      <c r="R80" s="12"/>
    </row>
    <row r="81" spans="2:17" x14ac:dyDescent="0.3">
      <c r="Q81" s="92"/>
    </row>
    <row r="82" spans="2:17" ht="25.8" x14ac:dyDescent="0.5">
      <c r="B82" s="181" t="s">
        <v>186</v>
      </c>
      <c r="C82" s="181"/>
      <c r="D82" s="181"/>
      <c r="E82" s="181"/>
      <c r="F82" s="181"/>
      <c r="G82" s="181"/>
      <c r="H82" s="181"/>
      <c r="I82" s="181"/>
      <c r="J82" s="181"/>
      <c r="K82" s="181"/>
      <c r="L82" s="181"/>
      <c r="M82" s="181"/>
    </row>
    <row r="84" spans="2:17" x14ac:dyDescent="0.3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3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3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3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3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12" priority="6" operator="equal">
      <formula>"oui"</formula>
    </cfRule>
  </conditionalFormatting>
  <conditionalFormatting sqref="A4">
    <cfRule type="cellIs" dxfId="11" priority="4" operator="equal">
      <formula>"Oui"</formula>
    </cfRule>
  </conditionalFormatting>
  <conditionalFormatting sqref="A4">
    <cfRule type="cellIs" dxfId="10" priority="3" operator="equal">
      <formula>"NON"</formula>
    </cfRule>
  </conditionalFormatting>
  <conditionalFormatting sqref="A5:A38">
    <cfRule type="cellIs" dxfId="9" priority="2" operator="equal">
      <formula>"Oui"</formula>
    </cfRule>
  </conditionalFormatting>
  <conditionalFormatting sqref="A5:A38">
    <cfRule type="cellIs" dxfId="8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"/>
  <sheetViews>
    <sheetView topLeftCell="D7" workbookViewId="0">
      <selection activeCell="H13" sqref="H13:H32"/>
    </sheetView>
  </sheetViews>
  <sheetFormatPr baseColWidth="10" defaultRowHeight="14.4" x14ac:dyDescent="0.3"/>
  <sheetData>
    <row r="1" spans="1:29" ht="22.8" x14ac:dyDescent="0.4">
      <c r="A1" s="192"/>
      <c r="B1" s="189" t="s">
        <v>211</v>
      </c>
      <c r="C1" s="190"/>
      <c r="D1" s="190"/>
      <c r="E1" s="190"/>
      <c r="F1" s="190"/>
      <c r="G1" s="190"/>
      <c r="H1" s="190"/>
    </row>
    <row r="2" spans="1:29" ht="19.8" x14ac:dyDescent="0.4">
      <c r="A2" s="192"/>
      <c r="B2" s="191" t="s">
        <v>212</v>
      </c>
      <c r="C2" s="191"/>
      <c r="D2" s="191"/>
      <c r="E2" s="191"/>
      <c r="F2" s="192"/>
      <c r="G2" s="192"/>
      <c r="H2" s="192"/>
    </row>
    <row r="3" spans="1:29" ht="15" thickBot="1" x14ac:dyDescent="0.35">
      <c r="A3" s="192"/>
      <c r="B3" s="193" t="s">
        <v>213</v>
      </c>
      <c r="C3" s="193"/>
      <c r="D3" s="194"/>
      <c r="E3" s="195">
        <f>SIG!M11</f>
        <v>29117</v>
      </c>
      <c r="F3" s="192"/>
      <c r="G3" s="192"/>
      <c r="H3" s="192"/>
    </row>
    <row r="4" spans="1:29" ht="18.600000000000001" thickTop="1" thickBot="1" x14ac:dyDescent="0.4">
      <c r="A4" s="192"/>
      <c r="B4" s="196" t="s">
        <v>214</v>
      </c>
      <c r="C4" s="196"/>
      <c r="D4" s="197"/>
      <c r="E4" s="198">
        <f>SIG!M12</f>
        <v>0.01</v>
      </c>
      <c r="F4" s="192"/>
      <c r="G4" s="192"/>
      <c r="H4" s="192"/>
    </row>
    <row r="5" spans="1:29" ht="18.600000000000001" thickTop="1" thickBot="1" x14ac:dyDescent="0.4">
      <c r="A5" s="192"/>
      <c r="B5" s="196" t="s">
        <v>215</v>
      </c>
      <c r="C5" s="196"/>
      <c r="D5" s="197"/>
      <c r="E5" s="199">
        <v>10</v>
      </c>
      <c r="F5" s="192"/>
      <c r="G5" s="192"/>
      <c r="H5" s="192"/>
    </row>
    <row r="6" spans="1:29" ht="18.600000000000001" thickTop="1" thickBot="1" x14ac:dyDescent="0.4">
      <c r="A6" s="192"/>
      <c r="B6" s="196" t="s">
        <v>216</v>
      </c>
      <c r="C6" s="196"/>
      <c r="D6" s="197"/>
      <c r="E6" s="200">
        <f ca="1">TODAY()</f>
        <v>44139</v>
      </c>
      <c r="F6" s="192"/>
      <c r="G6" s="192"/>
      <c r="H6" s="192"/>
    </row>
    <row r="7" spans="1:29" ht="15.6" thickTop="1" thickBot="1" x14ac:dyDescent="0.35">
      <c r="A7" s="192"/>
      <c r="B7" s="201"/>
      <c r="C7" s="201"/>
      <c r="D7" s="201"/>
      <c r="E7" s="192"/>
      <c r="F7" s="192"/>
      <c r="G7" s="192"/>
      <c r="H7" s="192"/>
    </row>
    <row r="8" spans="1:29" ht="18.600000000000001" thickTop="1" thickBot="1" x14ac:dyDescent="0.4">
      <c r="A8" s="192"/>
      <c r="B8" s="196" t="s">
        <v>217</v>
      </c>
      <c r="C8" s="196"/>
      <c r="D8" s="202"/>
      <c r="E8" s="203">
        <f>IFERROR(IF(Valeurs_Entrées,Paiement_Mensuel,""), "")</f>
        <v>1004.5890601074838</v>
      </c>
      <c r="F8" s="192"/>
      <c r="G8" s="192"/>
      <c r="H8" s="192"/>
    </row>
    <row r="9" spans="1:29" ht="18.600000000000001" thickTop="1" thickBot="1" x14ac:dyDescent="0.4">
      <c r="A9" s="192"/>
      <c r="B9" s="196" t="s">
        <v>218</v>
      </c>
      <c r="C9" s="196"/>
      <c r="D9" s="202"/>
      <c r="E9" s="207">
        <f>SIG!M13</f>
        <v>10</v>
      </c>
      <c r="F9" s="192"/>
      <c r="G9" s="192"/>
      <c r="H9" s="192"/>
    </row>
    <row r="10" spans="1:29" ht="18.600000000000001" thickTop="1" thickBot="1" x14ac:dyDescent="0.4">
      <c r="A10" s="192"/>
      <c r="B10" s="196" t="s">
        <v>219</v>
      </c>
      <c r="C10" s="196"/>
      <c r="D10" s="202"/>
      <c r="E10" s="203" t="str">
        <f>IFERROR(IF(Valeurs_Entrées,Coût_Total-Montant_Du_Prêt,""), "")</f>
        <v/>
      </c>
      <c r="F10" s="192"/>
      <c r="G10" s="192"/>
      <c r="H10" s="192"/>
    </row>
    <row r="11" spans="1:29" ht="18.600000000000001" thickTop="1" thickBot="1" x14ac:dyDescent="0.4">
      <c r="A11" s="192"/>
      <c r="B11" s="196" t="s">
        <v>220</v>
      </c>
      <c r="C11" s="196"/>
      <c r="D11" s="202"/>
      <c r="E11" s="203">
        <f>IFERROR(IF(Valeurs_Entrées,Paiement_Mensuel*Nombre_De_Paiements,""), "")</f>
        <v>10045.890601074838</v>
      </c>
      <c r="F11" s="192"/>
      <c r="G11" s="192"/>
      <c r="H11" s="192"/>
    </row>
    <row r="12" spans="1:29" ht="30" thickTop="1" thickBot="1" x14ac:dyDescent="0.35">
      <c r="A12" s="192"/>
      <c r="B12" s="204" t="s">
        <v>221</v>
      </c>
      <c r="C12" s="204" t="s">
        <v>222</v>
      </c>
      <c r="D12" s="204" t="s">
        <v>223</v>
      </c>
      <c r="E12" s="204" t="s">
        <v>224</v>
      </c>
      <c r="F12" s="204" t="s">
        <v>225</v>
      </c>
      <c r="G12" s="204" t="s">
        <v>226</v>
      </c>
      <c r="H12" s="204" t="s">
        <v>227</v>
      </c>
    </row>
    <row r="13" spans="1:29" x14ac:dyDescent="0.3">
      <c r="A13" s="192"/>
      <c r="B13" s="208">
        <f>IFERROR(IF(Prêt_Non_Payé*Valeurs_Entrées,Numéro_Paiement,""), "")</f>
        <v>1</v>
      </c>
      <c r="C13" s="205">
        <f>IFERROR(IF(Prêt_Non_Payé*Valeurs_Entrées,Date_Paiement,""), "")</f>
        <v>44169</v>
      </c>
      <c r="D13" s="206">
        <f>IFERROR(IF(Prêt_Non_Payé*Valeurs_Entrées,Solde_Départ,""), "")</f>
        <v>10000</v>
      </c>
      <c r="E13" s="206">
        <f>IFERROR(IF(Prêt_Non_Payé*Valeurs_Entrées,Paiement_Mensuel,""), "")</f>
        <v>1004.5890601074838</v>
      </c>
      <c r="F13" s="206">
        <f>IFERROR(IF(Prêt_Non_Payé*Valeurs_Entrées,Capital,""), "")</f>
        <v>996.2557267741505</v>
      </c>
      <c r="G13" s="206">
        <f>IFERROR(IF(Prêt_Non_Payé*Valeurs_Entrées,Intérêts,""), "")</f>
        <v>8.3333333333333339</v>
      </c>
      <c r="H13" s="206">
        <f>IFERROR(IF(Prêt_Non_Payé*Valeurs_Entrées,Solde_Final,""), "")</f>
        <v>9003.7442732259588</v>
      </c>
      <c r="J13" s="206">
        <v>9003.7442732259588</v>
      </c>
      <c r="K13" s="206">
        <v>8006.658333346335</v>
      </c>
      <c r="L13" s="206">
        <v>7008.7414885168137</v>
      </c>
      <c r="M13" s="206">
        <v>6009.9930463165147</v>
      </c>
      <c r="N13" s="206">
        <v>5010.4123137477191</v>
      </c>
      <c r="O13" s="206">
        <v>4009.9985972353452</v>
      </c>
      <c r="P13" s="206">
        <v>3008.7512026256127</v>
      </c>
      <c r="Q13" s="206">
        <v>2006.669435187111</v>
      </c>
      <c r="R13" s="206">
        <v>1003.7525996089425</v>
      </c>
      <c r="S13" s="206">
        <v>1.5152181731536984E-9</v>
      </c>
      <c r="T13" s="12"/>
      <c r="U13" s="12"/>
      <c r="V13" s="12"/>
      <c r="W13" s="12"/>
      <c r="X13" s="12"/>
      <c r="Y13" s="12"/>
      <c r="Z13" s="12"/>
      <c r="AA13" s="12"/>
      <c r="AB13" s="12"/>
      <c r="AC13" s="12"/>
    </row>
    <row r="14" spans="1:29" x14ac:dyDescent="0.3">
      <c r="A14" s="192"/>
      <c r="B14" s="208">
        <f>IFERROR(IF(Prêt_Non_Payé*Valeurs_Entrées,Numéro_Paiement,""), "")</f>
        <v>2</v>
      </c>
      <c r="C14" s="205">
        <f>IFERROR(IF(Prêt_Non_Payé*Valeurs_Entrées,Date_Paiement,""), "")</f>
        <v>44200</v>
      </c>
      <c r="D14" s="206">
        <f>IFERROR(IF(Prêt_Non_Payé*Valeurs_Entrées,Solde_Départ,""), "")</f>
        <v>9003.7442732259588</v>
      </c>
      <c r="E14" s="206">
        <f>IFERROR(IF(Prêt_Non_Payé*Valeurs_Entrées,Paiement_Mensuel,""), "")</f>
        <v>1004.5890601074838</v>
      </c>
      <c r="F14" s="206">
        <f>IFERROR(IF(Prêt_Non_Payé*Valeurs_Entrées,Capital,""), "")</f>
        <v>997.08593987979566</v>
      </c>
      <c r="G14" s="206">
        <f>IFERROR(IF(Prêt_Non_Payé*Valeurs_Entrées,Intérêts,""), "")</f>
        <v>7.5031202276882087</v>
      </c>
      <c r="H14" s="206">
        <f>IFERROR(IF(Prêt_Non_Payé*Valeurs_Entrées,Solde_Final,""), "")</f>
        <v>8006.658333346335</v>
      </c>
    </row>
    <row r="15" spans="1:29" x14ac:dyDescent="0.3">
      <c r="A15" s="192"/>
      <c r="B15" s="208">
        <f>IFERROR(IF(Prêt_Non_Payé*Valeurs_Entrées,Numéro_Paiement,""), "")</f>
        <v>3</v>
      </c>
      <c r="C15" s="205">
        <f>IFERROR(IF(Prêt_Non_Payé*Valeurs_Entrées,Date_Paiement,""), "")</f>
        <v>44231</v>
      </c>
      <c r="D15" s="206">
        <f>IFERROR(IF(Prêt_Non_Payé*Valeurs_Entrées,Solde_Départ,""), "")</f>
        <v>8006.658333346335</v>
      </c>
      <c r="E15" s="206">
        <f>IFERROR(IF(Prêt_Non_Payé*Valeurs_Entrées,Paiement_Mensuel,""), "")</f>
        <v>1004.5890601074838</v>
      </c>
      <c r="F15" s="206">
        <f>IFERROR(IF(Prêt_Non_Payé*Valeurs_Entrées,Capital,""), "")</f>
        <v>997.91684482969549</v>
      </c>
      <c r="G15" s="206">
        <f>IFERROR(IF(Prêt_Non_Payé*Valeurs_Entrées,Intérêts,""), "")</f>
        <v>6.6722152777883785</v>
      </c>
      <c r="H15" s="206">
        <f>IFERROR(IF(Prêt_Non_Payé*Valeurs_Entrées,Solde_Final,""), "")</f>
        <v>7008.7414885168137</v>
      </c>
    </row>
    <row r="16" spans="1:29" x14ac:dyDescent="0.3">
      <c r="A16" s="192"/>
      <c r="B16" s="208">
        <f>IFERROR(IF(Prêt_Non_Payé*Valeurs_Entrées,Numéro_Paiement,""), "")</f>
        <v>4</v>
      </c>
      <c r="C16" s="205">
        <f>IFERROR(IF(Prêt_Non_Payé*Valeurs_Entrées,Date_Paiement,""), "")</f>
        <v>44259</v>
      </c>
      <c r="D16" s="206">
        <f>IFERROR(IF(Prêt_Non_Payé*Valeurs_Entrées,Solde_Départ,""), "")</f>
        <v>7008.7414885168137</v>
      </c>
      <c r="E16" s="206">
        <f>IFERROR(IF(Prêt_Non_Payé*Valeurs_Entrées,Paiement_Mensuel,""), "")</f>
        <v>1004.5890601074838</v>
      </c>
      <c r="F16" s="206">
        <f>IFERROR(IF(Prêt_Non_Payé*Valeurs_Entrées,Capital,""), "")</f>
        <v>998.74844220038688</v>
      </c>
      <c r="G16" s="206">
        <f>IFERROR(IF(Prêt_Non_Payé*Valeurs_Entrées,Intérêts,""), "")</f>
        <v>5.8406179070969655</v>
      </c>
      <c r="H16" s="206">
        <f>IFERROR(IF(Prêt_Non_Payé*Valeurs_Entrées,Solde_Final,""), "")</f>
        <v>6009.9930463165147</v>
      </c>
    </row>
    <row r="17" spans="1:11" x14ac:dyDescent="0.3">
      <c r="A17" s="192"/>
      <c r="B17" s="208">
        <f>IFERROR(IF(Prêt_Non_Payé*Valeurs_Entrées,Numéro_Paiement,""), "")</f>
        <v>5</v>
      </c>
      <c r="C17" s="205">
        <f>IFERROR(IF(Prêt_Non_Payé*Valeurs_Entrées,Date_Paiement,""), "")</f>
        <v>44290</v>
      </c>
      <c r="D17" s="206">
        <f>IFERROR(IF(Prêt_Non_Payé*Valeurs_Entrées,Solde_Départ,""), "")</f>
        <v>6009.9930463165147</v>
      </c>
      <c r="E17" s="206">
        <f>IFERROR(IF(Prêt_Non_Payé*Valeurs_Entrées,Paiement_Mensuel,""), "")</f>
        <v>1004.5890601074838</v>
      </c>
      <c r="F17" s="206">
        <f>IFERROR(IF(Prêt_Non_Payé*Valeurs_Entrées,Capital,""), "")</f>
        <v>999.58073256888702</v>
      </c>
      <c r="G17" s="206">
        <f>IFERROR(IF(Prêt_Non_Payé*Valeurs_Entrées,Intérêts,""), "")</f>
        <v>5.0083275385966441</v>
      </c>
      <c r="H17" s="206">
        <f>IFERROR(IF(Prêt_Non_Payé*Valeurs_Entrées,Solde_Final,""), "")</f>
        <v>5010.4123137477191</v>
      </c>
      <c r="K17" t="s">
        <v>228</v>
      </c>
    </row>
    <row r="18" spans="1:11" x14ac:dyDescent="0.3">
      <c r="A18" s="192"/>
      <c r="B18" s="208">
        <f>IFERROR(IF(Prêt_Non_Payé*Valeurs_Entrées,Numéro_Paiement,""), "")</f>
        <v>6</v>
      </c>
      <c r="C18" s="205">
        <f>IFERROR(IF(Prêt_Non_Payé*Valeurs_Entrées,Date_Paiement,""), "")</f>
        <v>44320</v>
      </c>
      <c r="D18" s="206">
        <f>IFERROR(IF(Prêt_Non_Payé*Valeurs_Entrées,Solde_Départ,""), "")</f>
        <v>5010.4123137477191</v>
      </c>
      <c r="E18" s="206">
        <f>IFERROR(IF(Prêt_Non_Payé*Valeurs_Entrées,Paiement_Mensuel,""), "")</f>
        <v>1004.5890601074838</v>
      </c>
      <c r="F18" s="206">
        <f>IFERROR(IF(Prêt_Non_Payé*Valeurs_Entrées,Capital,""), "")</f>
        <v>1000.4137165126946</v>
      </c>
      <c r="G18" s="206">
        <f>IFERROR(IF(Prêt_Non_Payé*Valeurs_Entrées,Intérêts,""), "")</f>
        <v>4.1753435947892381</v>
      </c>
      <c r="H18" s="206">
        <f>IFERROR(IF(Prêt_Non_Payé*Valeurs_Entrées,Solde_Final,""), "")</f>
        <v>4009.9985972353452</v>
      </c>
    </row>
    <row r="19" spans="1:11" x14ac:dyDescent="0.3">
      <c r="A19" s="192"/>
      <c r="B19" s="208">
        <f>IFERROR(IF(Prêt_Non_Payé*Valeurs_Entrées,Numéro_Paiement,""), "")</f>
        <v>7</v>
      </c>
      <c r="C19" s="205">
        <f>IFERROR(IF(Prêt_Non_Payé*Valeurs_Entrées,Date_Paiement,""), "")</f>
        <v>44351</v>
      </c>
      <c r="D19" s="206">
        <f>IFERROR(IF(Prêt_Non_Payé*Valeurs_Entrées,Solde_Départ,""), "")</f>
        <v>4009.9985972353452</v>
      </c>
      <c r="E19" s="206">
        <f>IFERROR(IF(Prêt_Non_Payé*Valeurs_Entrées,Paiement_Mensuel,""), "")</f>
        <v>1004.5890601074838</v>
      </c>
      <c r="F19" s="206">
        <f>IFERROR(IF(Prêt_Non_Payé*Valeurs_Entrées,Capital,""), "")</f>
        <v>1001.2473946097886</v>
      </c>
      <c r="G19" s="206">
        <f>IFERROR(IF(Prêt_Non_Payé*Valeurs_Entrées,Intérêts,""), "")</f>
        <v>3.3416654976953262</v>
      </c>
      <c r="H19" s="206">
        <f>IFERROR(IF(Prêt_Non_Payé*Valeurs_Entrées,Solde_Final,""), "")</f>
        <v>3008.7512026256127</v>
      </c>
    </row>
    <row r="20" spans="1:11" x14ac:dyDescent="0.3">
      <c r="A20" s="192"/>
      <c r="B20" s="208">
        <f>IFERROR(IF(Prêt_Non_Payé*Valeurs_Entrées,Numéro_Paiement,""), "")</f>
        <v>8</v>
      </c>
      <c r="C20" s="205">
        <f>IFERROR(IF(Prêt_Non_Payé*Valeurs_Entrées,Date_Paiement,""), "")</f>
        <v>44381</v>
      </c>
      <c r="D20" s="206">
        <f>IFERROR(IF(Prêt_Non_Payé*Valeurs_Entrées,Solde_Départ,""), "")</f>
        <v>3008.7512026256127</v>
      </c>
      <c r="E20" s="206">
        <f>IFERROR(IF(Prêt_Non_Payé*Valeurs_Entrées,Paiement_Mensuel,""), "")</f>
        <v>1004.5890601074838</v>
      </c>
      <c r="F20" s="206">
        <f>IFERROR(IF(Prêt_Non_Payé*Valeurs_Entrées,Capital,""), "")</f>
        <v>1002.08176743863</v>
      </c>
      <c r="G20" s="206">
        <f>IFERROR(IF(Prêt_Non_Payé*Valeurs_Entrées,Intérêts,""), "")</f>
        <v>2.5072926688538359</v>
      </c>
      <c r="H20" s="206">
        <f>IFERROR(IF(Prêt_Non_Payé*Valeurs_Entrées,Solde_Final,""), "")</f>
        <v>2006.669435187111</v>
      </c>
    </row>
    <row r="21" spans="1:11" x14ac:dyDescent="0.3">
      <c r="A21" s="192"/>
      <c r="B21" s="208">
        <f>IFERROR(IF(Prêt_Non_Payé*Valeurs_Entrées,Numéro_Paiement,""), "")</f>
        <v>9</v>
      </c>
      <c r="C21" s="205">
        <f>IFERROR(IF(Prêt_Non_Payé*Valeurs_Entrées,Date_Paiement,""), "")</f>
        <v>44412</v>
      </c>
      <c r="D21" s="206">
        <f>IFERROR(IF(Prêt_Non_Payé*Valeurs_Entrées,Solde_Départ,""), "")</f>
        <v>2006.669435187111</v>
      </c>
      <c r="E21" s="206">
        <f>IFERROR(IF(Prêt_Non_Payé*Valeurs_Entrées,Paiement_Mensuel,""), "")</f>
        <v>1004.5890601074838</v>
      </c>
      <c r="F21" s="206">
        <f>IFERROR(IF(Prêt_Non_Payé*Valeurs_Entrées,Capital,""), "")</f>
        <v>1002.916835578162</v>
      </c>
      <c r="G21" s="206">
        <f>IFERROR(IF(Prêt_Non_Payé*Valeurs_Entrées,Intérêts,""), "")</f>
        <v>1.672224529321644</v>
      </c>
      <c r="H21" s="206">
        <f>IFERROR(IF(Prêt_Non_Payé*Valeurs_Entrées,Solde_Final,""), "")</f>
        <v>1003.7525996089425</v>
      </c>
    </row>
    <row r="22" spans="1:11" x14ac:dyDescent="0.3">
      <c r="A22" s="192"/>
      <c r="B22" s="208">
        <f>IFERROR(IF(Prêt_Non_Payé*Valeurs_Entrées,Numéro_Paiement,""), "")</f>
        <v>10</v>
      </c>
      <c r="C22" s="205">
        <f>IFERROR(IF(Prêt_Non_Payé*Valeurs_Entrées,Date_Paiement,""), "")</f>
        <v>44443</v>
      </c>
      <c r="D22" s="206">
        <f>IFERROR(IF(Prêt_Non_Payé*Valeurs_Entrées,Solde_Départ,""), "")</f>
        <v>1003.7525996089425</v>
      </c>
      <c r="E22" s="206">
        <f>IFERROR(IF(Prêt_Non_Payé*Valeurs_Entrées,Paiement_Mensuel,""), "")</f>
        <v>1004.5890601074838</v>
      </c>
      <c r="F22" s="206">
        <f>IFERROR(IF(Prêt_Non_Payé*Valeurs_Entrées,Capital,""), "")</f>
        <v>1003.7525996078106</v>
      </c>
      <c r="G22" s="206">
        <f>IFERROR(IF(Prêt_Non_Payé*Valeurs_Entrées,Intérêts,""), "")</f>
        <v>0.83646049967317548</v>
      </c>
      <c r="H22" s="206">
        <f>IFERROR(IF(Prêt_Non_Payé*Valeurs_Entrées,Solde_Final,""), "")</f>
        <v>1.5152181731536984E-9</v>
      </c>
    </row>
  </sheetData>
  <mergeCells count="9">
    <mergeCell ref="B9:D9"/>
    <mergeCell ref="B10:D10"/>
    <mergeCell ref="B11:D11"/>
    <mergeCell ref="B2:E2"/>
    <mergeCell ref="B3:D3"/>
    <mergeCell ref="B4:D4"/>
    <mergeCell ref="B5:D5"/>
    <mergeCell ref="B6:D6"/>
    <mergeCell ref="B8:D8"/>
  </mergeCells>
  <conditionalFormatting sqref="J13:S13">
    <cfRule type="expression" dxfId="7" priority="1" stopIfTrue="1">
      <formula>NOT(Prêt_Non_Payé)</formula>
    </cfRule>
    <cfRule type="expression" dxfId="6" priority="2" stopIfTrue="1">
      <formula>IF(ROW(J13)=Dernière_Ligne,TRUE,FALSE)</formula>
    </cfRule>
  </conditionalFormatting>
  <conditionalFormatting sqref="C13:G22">
    <cfRule type="expression" dxfId="5" priority="3" stopIfTrue="1">
      <formula>NOT(Prêt_Non_Payé)</formula>
    </cfRule>
    <cfRule type="expression" dxfId="4" priority="4" stopIfTrue="1">
      <formula>IF(ROW(C13)=Dernière_Ligne,TRUE,FALSE)</formula>
    </cfRule>
  </conditionalFormatting>
  <conditionalFormatting sqref="B13:B22">
    <cfRule type="expression" dxfId="3" priority="5" stopIfTrue="1">
      <formula>NOT(Prêt_Non_Payé)</formula>
    </cfRule>
    <cfRule type="expression" dxfId="2" priority="6" stopIfTrue="1">
      <formula>IF(ROW(B13)=Dernière_Ligne,TRUE,FALSE)</formula>
    </cfRule>
  </conditionalFormatting>
  <conditionalFormatting sqref="H13:H22">
    <cfRule type="expression" dxfId="1" priority="7" stopIfTrue="1">
      <formula>NOT(Prêt_Non_Payé)</formula>
    </cfRule>
    <cfRule type="expression" dxfId="0" priority="8" stopIfTrue="1">
      <formula>IF(ROW(H13)=Dernière_Ligne,TRUE,FALSE)</formula>
    </cfRule>
  </conditionalFormatting>
  <dataValidations count="26">
    <dataValidation allowBlank="1" showInputMessage="1" showErrorMessage="1" prompt="Entrez le taux d’intérêt annuel dans cette cellule." sqref="E4"/>
    <dataValidation allowBlank="1" showInputMessage="1" showErrorMessage="1" prompt="Le solde final est automatiquement mis à jour dans cette colonne sous ce titre." sqref="H12"/>
    <dataValidation allowBlank="1" showInputMessage="1" showErrorMessage="1" prompt="Le montant des intérêts est mis à jour automatiquement dans cette colonne sous ce titre." sqref="G12"/>
    <dataValidation allowBlank="1" showInputMessage="1" showErrorMessage="1" prompt="Le montant du capital est mis à jour automatiquement dans cette colonne sous ce titre." sqref="F12"/>
    <dataValidation allowBlank="1" showInputMessage="1" showErrorMessage="1" prompt="Le montant du paiement est calculé automatiquement dans cette colonne sous ce titre." sqref="E12"/>
    <dataValidation allowBlank="1" showInputMessage="1" showErrorMessage="1" prompt="Le solde de départ est calculé automatiquement dans cette colonne sous ce titre" sqref="D12"/>
    <dataValidation allowBlank="1" showInputMessage="1" showErrorMessage="1" prompt="La date de paiement est mise à jour automatiquement dans cette colonne sous ce titre." sqref="C12"/>
    <dataValidation allowBlank="1" showInputMessage="1" showErrorMessage="1" prompt="Le numéro de paiement est mis à jour automatiquement dans cette colonne sous ce titre." sqref="B12"/>
    <dataValidation allowBlank="1" showInputMessage="1" showErrorMessage="1" prompt="Entrez des valeurs dans les cellules E3 à E6 pour chaque description dans la colonne B. Les valeurs des cellules E8 à E11 sont calculées automatiquement." sqref="B2"/>
    <dataValidation allowBlank="1" showInputMessage="1" showErrorMessage="1" prompt="Le coût total du prêt est calculé automatiquement dans cette cellule." sqref="E11"/>
    <dataValidation allowBlank="1" showInputMessage="1" showErrorMessage="1" prompt="Le coût total du prêt est calculé automatiquement dans la cellule à droite." sqref="B11:D11"/>
    <dataValidation allowBlank="1" showInputMessage="1" showErrorMessage="1" prompt="Le total des intérêts est calculé automatiquement dans cette cellule." sqref="E10"/>
    <dataValidation allowBlank="1" showInputMessage="1" showErrorMessage="1" prompt="Le total des intérêts est calculé automatiquement dans la cellule à droite." sqref="B10:D10"/>
    <dataValidation allowBlank="1" showInputMessage="1" showErrorMessage="1" prompt="Le nombre de paiements est calculé automatiquement dans cette cellule." sqref="E9"/>
    <dataValidation allowBlank="1" showInputMessage="1" showErrorMessage="1" prompt="Le nombre de paiements est calculé automatiquement dans la cellule à droite." sqref="B9:D9"/>
    <dataValidation allowBlank="1" showInputMessage="1" showErrorMessage="1" prompt="La mensualité est calculée automatiquement dans cette cellule." sqref="E8"/>
    <dataValidation allowBlank="1" showInputMessage="1" showErrorMessage="1" prompt="La mensualité est calculée automatiquement dans la cellule à droite." sqref="B8:D8"/>
    <dataValidation allowBlank="1" showInputMessage="1" showErrorMessage="1" prompt="Entrez la date de début du prêt dans cette cellule." sqref="E6"/>
    <dataValidation allowBlank="1" showInputMessage="1" showErrorMessage="1" prompt="Entrez la date de début du prêt dans la cellule à droite." sqref="B6:D6"/>
    <dataValidation allowBlank="1" showInputMessage="1" showErrorMessage="1" prompt="Entrez la durée du prêt en années dans cette cellule." sqref="E5"/>
    <dataValidation allowBlank="1" showInputMessage="1" showErrorMessage="1" prompt="Entrez la durée du prêt en années dans la cellule à droite." sqref="B5:D5"/>
    <dataValidation allowBlank="1" showInputMessage="1" showErrorMessage="1" prompt="Entrez le taux d’intérêt annuel dans la cellule à droite." sqref="B4:D4"/>
    <dataValidation allowBlank="1" showInputMessage="1" showErrorMessage="1" prompt="Entrez le montant du prêt dans cette cellule." sqref="E3"/>
    <dataValidation allowBlank="1" showInputMessage="1" showErrorMessage="1" prompt="Entrez le montant du prêt dans la cellule à droite." sqref="B3:D3"/>
    <dataValidation allowBlank="1" showInputMessage="1" showErrorMessage="1" prompt="Le titre de la feuille de calcul figure dans cette cellule. Entrez les valeurs du prêt dans les cellules E3 à E6. Le récapitulatif du prêt dans les cellules E8 à E11 et la table Prêt sont mis à jour automatiquement." sqref="B1"/>
    <dataValidation allowBlank="1" showInputMessage="1" showErrorMessage="1" prompt="Créez un plan de remboursement de prêt à l’aide de cette feuille de calcul Calculateur de prêt et tableau d’amortissement. Le total des intérêts et des paiements est calculé automatiquement." sqref="A1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SIG</vt:lpstr>
      <vt:lpstr>ENCAISSEMENTS</vt:lpstr>
      <vt:lpstr>DECAISSEMENTS</vt:lpstr>
      <vt:lpstr>Prêt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</cp:lastModifiedBy>
  <cp:lastPrinted>2015-07-06T14:54:07Z</cp:lastPrinted>
  <dcterms:created xsi:type="dcterms:W3CDTF">2012-12-14T09:34:10Z</dcterms:created>
  <dcterms:modified xsi:type="dcterms:W3CDTF">2020-11-04T18:38:09Z</dcterms:modified>
</cp:coreProperties>
</file>