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Finances\Montage financier\"/>
    </mc:Choice>
  </mc:AlternateContent>
  <bookViews>
    <workbookView xWindow="0" yWindow="0" windowWidth="23040" windowHeight="8130" tabRatio="731"/>
  </bookViews>
  <sheets>
    <sheet name="SIG" sheetId="1" r:id="rId1"/>
    <sheet name="ENCAISSEMENTS" sheetId="3" r:id="rId2"/>
    <sheet name="DECAISSEMENTS" sheetId="4" r:id="rId3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5" i="4" l="1"/>
  <c r="AB42" i="1" l="1"/>
  <c r="AB41" i="1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F80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D24" i="1"/>
  <c r="H19" i="3"/>
  <c r="H18" i="3"/>
  <c r="H17" i="3"/>
  <c r="H16" i="3"/>
  <c r="H15" i="3"/>
  <c r="H14" i="3"/>
  <c r="H13" i="3"/>
  <c r="C45" i="4"/>
  <c r="C80" i="4" s="1"/>
  <c r="V10" i="1" l="1"/>
  <c r="M39" i="4"/>
  <c r="C11" i="1" s="1"/>
  <c r="E43" i="1"/>
  <c r="F43" i="1"/>
  <c r="D43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E26" i="1" l="1"/>
  <c r="I26" i="1"/>
  <c r="M26" i="1"/>
  <c r="Q26" i="1"/>
  <c r="J26" i="1"/>
  <c r="R26" i="1"/>
  <c r="G26" i="1"/>
  <c r="K26" i="1"/>
  <c r="O26" i="1"/>
  <c r="S26" i="1"/>
  <c r="W26" i="1"/>
  <c r="H26" i="1"/>
  <c r="L26" i="1"/>
  <c r="P26" i="1"/>
  <c r="T26" i="1"/>
  <c r="D26" i="1"/>
  <c r="U26" i="1"/>
  <c r="F26" i="1"/>
  <c r="N26" i="1"/>
  <c r="V26" i="1"/>
  <c r="C37" i="1"/>
  <c r="C40" i="1"/>
  <c r="C14" i="1"/>
  <c r="H5" i="3"/>
  <c r="H6" i="3"/>
  <c r="H7" i="3"/>
  <c r="H8" i="3"/>
  <c r="H9" i="3"/>
  <c r="H10" i="3"/>
  <c r="H11" i="3"/>
  <c r="H12" i="3"/>
  <c r="H4" i="3"/>
  <c r="H39" i="3" l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 l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K80" i="4" l="1"/>
  <c r="AB16" i="1" l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C13" i="1" l="1"/>
  <c r="R22" i="1" l="1"/>
  <c r="P22" i="1"/>
  <c r="O22" i="1"/>
  <c r="Q22" i="1"/>
  <c r="N22" i="1"/>
  <c r="D22" i="1"/>
  <c r="M8" i="1"/>
  <c r="C8" i="1"/>
  <c r="C38" i="1" l="1"/>
  <c r="N8" i="1"/>
  <c r="M11" i="1"/>
  <c r="V8" i="1"/>
  <c r="C12" i="1"/>
  <c r="C10" i="1"/>
  <c r="C9" i="1"/>
  <c r="D21" i="1" l="1"/>
  <c r="U47" i="1"/>
  <c r="V47" i="1"/>
  <c r="W47" i="1"/>
  <c r="G21" i="1" l="1"/>
  <c r="K21" i="1"/>
  <c r="O21" i="1"/>
  <c r="S21" i="1"/>
  <c r="E21" i="1"/>
  <c r="H21" i="1"/>
  <c r="T21" i="1"/>
  <c r="F21" i="1"/>
  <c r="J21" i="1"/>
  <c r="N21" i="1"/>
  <c r="R21" i="1"/>
  <c r="V21" i="1"/>
  <c r="W21" i="1"/>
  <c r="I21" i="1"/>
  <c r="M21" i="1"/>
  <c r="Q21" i="1"/>
  <c r="U21" i="1"/>
  <c r="L21" i="1"/>
  <c r="P21" i="1"/>
  <c r="B57" i="1"/>
  <c r="S29" i="1"/>
  <c r="T29" i="1"/>
  <c r="U29" i="1"/>
  <c r="V29" i="1"/>
  <c r="W29" i="1"/>
  <c r="H29" i="1"/>
  <c r="M29" i="1" l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K23" i="1"/>
  <c r="K25" i="1" s="1"/>
  <c r="S23" i="1"/>
  <c r="S25" i="1" s="1"/>
  <c r="U25" i="1" l="1"/>
  <c r="U28" i="1" s="1"/>
  <c r="U31" i="1" s="1"/>
  <c r="U42" i="1" s="1"/>
  <c r="W25" i="1"/>
  <c r="W28" i="1" s="1"/>
  <c r="W31" i="1" s="1"/>
  <c r="W42" i="1" s="1"/>
  <c r="V25" i="1"/>
  <c r="V28" i="1" s="1"/>
  <c r="V31" i="1" s="1"/>
  <c r="V42" i="1" s="1"/>
  <c r="T28" i="1"/>
  <c r="T31" i="1" s="1"/>
  <c r="T42" i="1" s="1"/>
  <c r="T47" i="1"/>
  <c r="S28" i="1"/>
  <c r="S31" i="1" s="1"/>
  <c r="S42" i="1" s="1"/>
  <c r="S47" i="1"/>
  <c r="M28" i="1"/>
  <c r="M47" i="1"/>
  <c r="O28" i="1"/>
  <c r="O47" i="1"/>
  <c r="F28" i="1"/>
  <c r="F47" i="1"/>
  <c r="L28" i="1"/>
  <c r="L47" i="1"/>
  <c r="J28" i="1"/>
  <c r="J47" i="1"/>
  <c r="K28" i="1"/>
  <c r="K47" i="1"/>
  <c r="N28" i="1"/>
  <c r="N47" i="1"/>
  <c r="P28" i="1"/>
  <c r="P47" i="1"/>
  <c r="E28" i="1"/>
  <c r="E47" i="1"/>
  <c r="Q28" i="1"/>
  <c r="Q47" i="1"/>
  <c r="H28" i="1"/>
  <c r="H47" i="1"/>
  <c r="I28" i="1"/>
  <c r="I47" i="1"/>
  <c r="G28" i="1"/>
  <c r="G47" i="1"/>
  <c r="R28" i="1"/>
  <c r="R47" i="1"/>
  <c r="R31" i="1" l="1"/>
  <c r="R42" i="1" s="1"/>
  <c r="Q31" i="1"/>
  <c r="Q42" i="1" s="1"/>
  <c r="P31" i="1"/>
  <c r="P42" i="1" s="1"/>
  <c r="K31" i="1"/>
  <c r="K42" i="1" s="1"/>
  <c r="O31" i="1"/>
  <c r="O42" i="1" s="1"/>
  <c r="G31" i="1"/>
  <c r="G42" i="1" s="1"/>
  <c r="H31" i="1"/>
  <c r="H42" i="1" s="1"/>
  <c r="E31" i="1"/>
  <c r="E42" i="1" s="1"/>
  <c r="N31" i="1"/>
  <c r="N42" i="1" s="1"/>
  <c r="J31" i="1"/>
  <c r="J42" i="1" s="1"/>
  <c r="F31" i="1"/>
  <c r="F42" i="1" s="1"/>
  <c r="M31" i="1"/>
  <c r="M42" i="1" s="1"/>
  <c r="I31" i="1"/>
  <c r="I42" i="1" s="1"/>
  <c r="L31" i="1"/>
  <c r="L42" i="1" s="1"/>
  <c r="D23" i="1" l="1"/>
  <c r="D25" i="1" s="1"/>
  <c r="D47" i="1" l="1"/>
  <c r="D28" i="1"/>
  <c r="D31" i="1" s="1"/>
  <c r="D33" i="1" l="1"/>
  <c r="D42" i="1"/>
  <c r="D32" i="1"/>
  <c r="E33" i="1" s="1"/>
  <c r="D34" i="1" l="1"/>
  <c r="E34" i="1"/>
  <c r="E44" i="1" s="1"/>
  <c r="E45" i="1" s="1"/>
  <c r="E32" i="1"/>
  <c r="F33" i="1" s="1"/>
  <c r="E36" i="1" l="1"/>
  <c r="F34" i="1"/>
  <c r="D36" i="1"/>
  <c r="D44" i="1"/>
  <c r="D45" i="1" s="1"/>
  <c r="F32" i="1"/>
  <c r="G33" i="1" s="1"/>
  <c r="D37" i="1" l="1"/>
  <c r="D38" i="1"/>
  <c r="E37" i="1"/>
  <c r="E38" i="1"/>
  <c r="E39" i="1"/>
  <c r="F36" i="1"/>
  <c r="F44" i="1"/>
  <c r="F45" i="1" s="1"/>
  <c r="D39" i="1"/>
  <c r="D40" i="1" s="1"/>
  <c r="G32" i="1"/>
  <c r="H33" i="1" s="1"/>
  <c r="F37" i="1" l="1"/>
  <c r="F38" i="1"/>
  <c r="F39" i="1"/>
  <c r="E40" i="1"/>
  <c r="G34" i="1"/>
  <c r="G43" i="1" s="1"/>
  <c r="H32" i="1"/>
  <c r="I33" i="1" s="1"/>
  <c r="F40" i="1" l="1"/>
  <c r="G36" i="1"/>
  <c r="H34" i="1"/>
  <c r="H43" i="1" s="1"/>
  <c r="G44" i="1"/>
  <c r="G45" i="1" s="1"/>
  <c r="I32" i="1"/>
  <c r="J33" i="1" s="1"/>
  <c r="G37" i="1" l="1"/>
  <c r="G38" i="1"/>
  <c r="H36" i="1"/>
  <c r="G39" i="1"/>
  <c r="G40" i="1" s="1"/>
  <c r="I34" i="1"/>
  <c r="I43" i="1" s="1"/>
  <c r="H44" i="1"/>
  <c r="H45" i="1" s="1"/>
  <c r="J32" i="1"/>
  <c r="K33" i="1" s="1"/>
  <c r="H37" i="1" l="1"/>
  <c r="H38" i="1"/>
  <c r="I36" i="1"/>
  <c r="H39" i="1"/>
  <c r="H40" i="1" s="1"/>
  <c r="J34" i="1"/>
  <c r="I44" i="1"/>
  <c r="I45" i="1" s="1"/>
  <c r="K32" i="1"/>
  <c r="L33" i="1" s="1"/>
  <c r="I37" i="1" l="1"/>
  <c r="I38" i="1"/>
  <c r="J36" i="1"/>
  <c r="J43" i="1"/>
  <c r="I39" i="1"/>
  <c r="I40" i="1" s="1"/>
  <c r="K34" i="1"/>
  <c r="L34" i="1"/>
  <c r="L43" i="1" s="1"/>
  <c r="L32" i="1"/>
  <c r="M33" i="1" s="1"/>
  <c r="J37" i="1" l="1"/>
  <c r="J38" i="1"/>
  <c r="J39" i="1"/>
  <c r="J40" i="1" s="1"/>
  <c r="K36" i="1"/>
  <c r="K38" i="1" s="1"/>
  <c r="K43" i="1"/>
  <c r="K44" i="1" s="1"/>
  <c r="K45" i="1" s="1"/>
  <c r="J44" i="1"/>
  <c r="J45" i="1" s="1"/>
  <c r="L36" i="1"/>
  <c r="M34" i="1"/>
  <c r="L44" i="1"/>
  <c r="L45" i="1" s="1"/>
  <c r="M32" i="1"/>
  <c r="N33" i="1" s="1"/>
  <c r="L37" i="1" l="1"/>
  <c r="L38" i="1"/>
  <c r="K39" i="1"/>
  <c r="K40" i="1" s="1"/>
  <c r="K37" i="1"/>
  <c r="M36" i="1"/>
  <c r="M43" i="1"/>
  <c r="M44" i="1" s="1"/>
  <c r="M45" i="1" s="1"/>
  <c r="L39" i="1"/>
  <c r="N34" i="1"/>
  <c r="N32" i="1"/>
  <c r="O33" i="1" s="1"/>
  <c r="M37" i="1" l="1"/>
  <c r="M38" i="1"/>
  <c r="M39" i="1"/>
  <c r="N36" i="1"/>
  <c r="N43" i="1"/>
  <c r="L40" i="1"/>
  <c r="O34" i="1"/>
  <c r="O32" i="1"/>
  <c r="P33" i="1" s="1"/>
  <c r="N37" i="1" l="1"/>
  <c r="N38" i="1"/>
  <c r="N39" i="1"/>
  <c r="M40" i="1"/>
  <c r="O36" i="1"/>
  <c r="O43" i="1"/>
  <c r="O44" i="1" s="1"/>
  <c r="O45" i="1" s="1"/>
  <c r="N44" i="1"/>
  <c r="N45" i="1" s="1"/>
  <c r="P34" i="1"/>
  <c r="P43" i="1" s="1"/>
  <c r="P32" i="1"/>
  <c r="Q33" i="1" s="1"/>
  <c r="O37" i="1" l="1"/>
  <c r="O38" i="1"/>
  <c r="N40" i="1"/>
  <c r="O39" i="1"/>
  <c r="P36" i="1"/>
  <c r="Q34" i="1"/>
  <c r="Q43" i="1" s="1"/>
  <c r="P44" i="1"/>
  <c r="P45" i="1" s="1"/>
  <c r="Q32" i="1"/>
  <c r="R33" i="1" s="1"/>
  <c r="P37" i="1" l="1"/>
  <c r="P38" i="1"/>
  <c r="O40" i="1"/>
  <c r="Q36" i="1"/>
  <c r="P39" i="1"/>
  <c r="R34" i="1"/>
  <c r="R43" i="1" s="1"/>
  <c r="Q44" i="1"/>
  <c r="Q45" i="1" s="1"/>
  <c r="R32" i="1"/>
  <c r="S33" i="1" s="1"/>
  <c r="Q37" i="1" l="1"/>
  <c r="Q38" i="1"/>
  <c r="P40" i="1"/>
  <c r="R36" i="1"/>
  <c r="Q39" i="1"/>
  <c r="S34" i="1"/>
  <c r="S43" i="1" s="1"/>
  <c r="R44" i="1"/>
  <c r="R45" i="1" s="1"/>
  <c r="S32" i="1"/>
  <c r="T33" i="1" s="1"/>
  <c r="R37" i="1" l="1"/>
  <c r="R38" i="1"/>
  <c r="Q40" i="1"/>
  <c r="R39" i="1"/>
  <c r="S36" i="1"/>
  <c r="T34" i="1"/>
  <c r="S44" i="1"/>
  <c r="S45" i="1" s="1"/>
  <c r="T32" i="1"/>
  <c r="U33" i="1" s="1"/>
  <c r="S37" i="1" l="1"/>
  <c r="S38" i="1"/>
  <c r="R40" i="1"/>
  <c r="T36" i="1"/>
  <c r="T43" i="1"/>
  <c r="T44" i="1" s="1"/>
  <c r="T45" i="1" s="1"/>
  <c r="S39" i="1"/>
  <c r="U34" i="1"/>
  <c r="U43" i="1" s="1"/>
  <c r="U32" i="1"/>
  <c r="V33" i="1" s="1"/>
  <c r="T37" i="1" l="1"/>
  <c r="T38" i="1"/>
  <c r="S40" i="1"/>
  <c r="T39" i="1"/>
  <c r="U36" i="1"/>
  <c r="V34" i="1"/>
  <c r="U44" i="1"/>
  <c r="U45" i="1" s="1"/>
  <c r="V32" i="1"/>
  <c r="W33" i="1" s="1"/>
  <c r="U37" i="1" l="1"/>
  <c r="U38" i="1"/>
  <c r="T40" i="1"/>
  <c r="V36" i="1"/>
  <c r="V43" i="1"/>
  <c r="U39" i="1"/>
  <c r="W34" i="1"/>
  <c r="W32" i="1"/>
  <c r="V37" i="1" l="1"/>
  <c r="V38" i="1"/>
  <c r="U40" i="1"/>
  <c r="V39" i="1"/>
  <c r="C54" i="1"/>
  <c r="W43" i="1"/>
  <c r="V44" i="1"/>
  <c r="V45" i="1" s="1"/>
  <c r="C52" i="1"/>
  <c r="W36" i="1"/>
  <c r="W37" i="1" l="1"/>
  <c r="C53" i="1" s="1"/>
  <c r="D53" i="1" s="1"/>
  <c r="W38" i="1"/>
  <c r="V40" i="1"/>
  <c r="W39" i="1"/>
  <c r="W44" i="1"/>
  <c r="W45" i="1" s="1"/>
  <c r="C55" i="1" s="1"/>
  <c r="W40" i="1" l="1"/>
  <c r="C51" i="1" s="1"/>
  <c r="D51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<sst xmlns="http://schemas.openxmlformats.org/spreadsheetml/2006/main" count="253" uniqueCount="206">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</sst>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39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5" fillId="0" borderId="0" applyNumberFormat="0" applyFill="0" applyBorder="0" applyAlignment="0" applyProtection="0"/>
  </cellStyleXfs>
  <cellXfs count="186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9" fontId="0" fillId="6" borderId="1" xfId="1" applyFont="1" applyFill="1" applyBorder="1" applyAlignment="1" applyProtection="1">
      <alignment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6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3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8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9" fillId="0" borderId="0" xfId="0" applyFont="1" applyAlignment="1">
      <alignment vertical="center"/>
    </xf>
    <xf numFmtId="0" fontId="39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5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41" fillId="14" borderId="1" xfId="0" applyFont="1" applyFill="1" applyBorder="1" applyAlignment="1">
      <alignment horizontal="center"/>
    </xf>
    <xf numFmtId="0" fontId="7" fillId="0" borderId="0" xfId="0" applyFont="1"/>
    <xf numFmtId="0" fontId="40" fillId="0" borderId="0" xfId="0" applyFont="1" applyFill="1" applyAlignment="1"/>
    <xf numFmtId="0" fontId="40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41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21" fillId="10" borderId="20" xfId="0" applyFont="1" applyFill="1" applyBorder="1" applyAlignment="1">
      <alignment horizont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8" fillId="12" borderId="0" xfId="0" applyFont="1" applyFill="1" applyAlignment="1" applyProtection="1">
      <alignment horizontal="center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5" fillId="0" borderId="21" xfId="38" applyBorder="1" applyAlignment="1">
      <alignment horizontal="left" vertical="center" wrapText="1"/>
    </xf>
    <xf numFmtId="0" fontId="35" fillId="0" borderId="13" xfId="38" applyBorder="1" applyAlignment="1">
      <alignment horizontal="left" vertical="center" wrapText="1"/>
    </xf>
    <xf numFmtId="0" fontId="42" fillId="7" borderId="0" xfId="0" applyFont="1" applyFill="1" applyAlignment="1">
      <alignment horizontal="center"/>
    </xf>
    <xf numFmtId="0" fontId="41" fillId="14" borderId="2" xfId="0" applyFont="1" applyFill="1" applyBorder="1" applyAlignment="1">
      <alignment horizontal="right"/>
    </xf>
    <xf numFmtId="0" fontId="41" fillId="14" borderId="3" xfId="0" applyFont="1" applyFill="1" applyBorder="1" applyAlignment="1">
      <alignment horizontal="right"/>
    </xf>
    <xf numFmtId="10" fontId="28" fillId="8" borderId="1" xfId="1" applyNumberFormat="1" applyFont="1" applyFill="1" applyBorder="1" applyAlignment="1" applyProtection="1">
      <alignment horizontal="center" wrapText="1"/>
    </xf>
  </cellXfs>
  <cellStyles count="39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showGridLines="0" tabSelected="1" zoomScale="80" zoomScaleNormal="80" workbookViewId="0">
      <selection activeCell="I12" sqref="I12"/>
    </sheetView>
  </sheetViews>
  <sheetFormatPr baseColWidth="10" defaultColWidth="11.5703125" defaultRowHeight="16.899999999999999" customHeight="1" x14ac:dyDescent="0.25"/>
  <cols>
    <col min="1" max="1" width="23.5703125" style="41" customWidth="1"/>
    <col min="2" max="2" width="16.5703125" style="41" customWidth="1"/>
    <col min="3" max="3" width="13.28515625" style="41" customWidth="1"/>
    <col min="4" max="4" width="12.7109375" style="41" customWidth="1"/>
    <col min="5" max="5" width="8.42578125" style="41" customWidth="1"/>
    <col min="6" max="6" width="10.7109375" style="41" customWidth="1"/>
    <col min="7" max="11" width="8.42578125" style="41" customWidth="1"/>
    <col min="12" max="12" width="10.28515625" style="41" customWidth="1"/>
    <col min="13" max="13" width="9.5703125" style="41" customWidth="1"/>
    <col min="14" max="23" width="8.42578125" style="41" customWidth="1"/>
    <col min="24" max="25" width="11.5703125" style="41"/>
    <col min="26" max="26" width="14.7109375" style="41" customWidth="1"/>
    <col min="27" max="27" width="11.5703125" style="113"/>
    <col min="28" max="32" width="11.5703125" style="113" customWidth="1"/>
    <col min="33" max="35" width="11.5703125" style="113"/>
    <col min="36" max="16384" width="11.5703125" style="41"/>
  </cols>
  <sheetData>
    <row r="1" spans="1:39" s="40" customFormat="1" ht="16.899999999999999" customHeight="1" x14ac:dyDescent="0.35">
      <c r="A1" s="176"/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Y1" s="41"/>
      <c r="Z1" s="41"/>
      <c r="AA1" s="113"/>
      <c r="AC1" s="114"/>
      <c r="AD1" s="115">
        <v>1</v>
      </c>
      <c r="AE1" s="113"/>
      <c r="AF1" s="113"/>
      <c r="AG1" s="113"/>
      <c r="AH1" s="113"/>
      <c r="AI1" s="113"/>
      <c r="AJ1" s="41"/>
      <c r="AK1" s="41"/>
      <c r="AL1" s="41"/>
      <c r="AM1" s="41"/>
    </row>
    <row r="2" spans="1:39" ht="16.899999999999999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3">
        <f t="shared" ref="AB2:AB10" si="0">AB3-20</f>
        <v>200</v>
      </c>
      <c r="AC2" s="113">
        <v>8</v>
      </c>
      <c r="AD2" s="115">
        <v>1.01</v>
      </c>
      <c r="AE2" s="113" t="s">
        <v>81</v>
      </c>
      <c r="AF2" s="115">
        <v>0.05</v>
      </c>
    </row>
    <row r="3" spans="1:39" ht="16.899999999999999" customHeight="1" x14ac:dyDescent="0.25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3">
        <f t="shared" si="0"/>
        <v>220</v>
      </c>
      <c r="AC3" s="113">
        <v>9</v>
      </c>
      <c r="AD3" s="115"/>
      <c r="AE3" s="113" t="s">
        <v>80</v>
      </c>
      <c r="AF3" s="115"/>
    </row>
    <row r="4" spans="1:39" ht="16.899999999999999" customHeight="1" x14ac:dyDescent="0.25">
      <c r="A4" s="41" t="s">
        <v>79</v>
      </c>
      <c r="B4" s="80" t="s">
        <v>81</v>
      </c>
      <c r="J4" s="49"/>
      <c r="AB4" s="113">
        <f t="shared" si="0"/>
        <v>240</v>
      </c>
      <c r="AC4" s="113">
        <v>10</v>
      </c>
      <c r="AD4" s="115"/>
      <c r="AF4" s="115"/>
    </row>
    <row r="5" spans="1:39" ht="16.899999999999999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3">
        <f t="shared" si="0"/>
        <v>260</v>
      </c>
      <c r="AC5" s="113">
        <v>11</v>
      </c>
      <c r="AD5" s="115">
        <v>1.02</v>
      </c>
      <c r="AF5" s="115">
        <f>AF2+5%</f>
        <v>0.1</v>
      </c>
    </row>
    <row r="6" spans="1:39" s="54" customFormat="1" ht="16.899999999999999" customHeight="1" x14ac:dyDescent="0.25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165" t="s">
        <v>0</v>
      </c>
      <c r="L6" s="165"/>
      <c r="M6" s="165"/>
      <c r="N6" s="165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3"/>
      <c r="AB6" s="113">
        <f t="shared" si="0"/>
        <v>280</v>
      </c>
      <c r="AC6" s="113">
        <v>12</v>
      </c>
      <c r="AD6" s="116">
        <v>1.03</v>
      </c>
      <c r="AE6" s="113"/>
      <c r="AF6" s="115">
        <f t="shared" ref="AF6:AF14" si="1">AF5+5%</f>
        <v>0.15000000000000002</v>
      </c>
      <c r="AG6" s="113"/>
      <c r="AH6" s="113"/>
      <c r="AI6" s="113"/>
      <c r="AJ6" s="41"/>
      <c r="AK6" s="41"/>
      <c r="AL6" s="41"/>
      <c r="AM6" s="41"/>
    </row>
    <row r="7" spans="1:39" ht="16.899999999999999" customHeight="1" x14ac:dyDescent="0.25">
      <c r="AB7" s="113">
        <f t="shared" si="0"/>
        <v>300</v>
      </c>
      <c r="AC7" s="113">
        <v>13</v>
      </c>
      <c r="AD7" s="116">
        <f>1%+AD6</f>
        <v>1.04</v>
      </c>
      <c r="AF7" s="115">
        <f t="shared" si="1"/>
        <v>0.2</v>
      </c>
    </row>
    <row r="8" spans="1:39" s="56" customFormat="1" ht="15" x14ac:dyDescent="0.25">
      <c r="A8" s="162" t="s">
        <v>23</v>
      </c>
      <c r="B8" s="163"/>
      <c r="C8" s="55">
        <f>ENCAISSEMENTS!C39</f>
        <v>200</v>
      </c>
      <c r="F8" s="162" t="s">
        <v>42</v>
      </c>
      <c r="G8" s="164"/>
      <c r="H8" s="163"/>
      <c r="I8" s="85">
        <v>5.0000000000000001E-3</v>
      </c>
      <c r="K8" s="162" t="s">
        <v>173</v>
      </c>
      <c r="L8" s="163"/>
      <c r="M8" s="57">
        <f>M9*M10</f>
        <v>40400</v>
      </c>
      <c r="N8" s="58">
        <f>M8/C11</f>
        <v>1.01</v>
      </c>
      <c r="O8" s="162" t="s">
        <v>87</v>
      </c>
      <c r="P8" s="163"/>
      <c r="Q8" s="81"/>
      <c r="R8" s="41"/>
      <c r="S8" s="162" t="s">
        <v>192</v>
      </c>
      <c r="T8" s="164"/>
      <c r="U8" s="163"/>
      <c r="V8" s="155">
        <f>(M8+M14)/C11</f>
        <v>1.01</v>
      </c>
      <c r="W8" s="41"/>
      <c r="X8" s="41"/>
      <c r="Y8" s="41"/>
      <c r="Z8" s="41"/>
      <c r="AA8" s="113"/>
      <c r="AB8" s="113">
        <f t="shared" si="0"/>
        <v>320</v>
      </c>
      <c r="AC8" s="113">
        <v>14</v>
      </c>
      <c r="AD8" s="116">
        <f t="shared" ref="AD8:AD19" si="2">1%+AD7</f>
        <v>1.05</v>
      </c>
      <c r="AE8" s="117"/>
      <c r="AF8" s="115">
        <f t="shared" si="1"/>
        <v>0.25</v>
      </c>
      <c r="AG8" s="117"/>
      <c r="AH8" s="117"/>
      <c r="AI8" s="117"/>
    </row>
    <row r="9" spans="1:39" ht="15" x14ac:dyDescent="0.25">
      <c r="A9" s="160" t="s">
        <v>24</v>
      </c>
      <c r="B9" s="161"/>
      <c r="C9" s="59">
        <f>ENCAISSEMENTS!D39</f>
        <v>36</v>
      </c>
      <c r="F9" s="162" t="s">
        <v>3</v>
      </c>
      <c r="G9" s="164"/>
      <c r="H9" s="163"/>
      <c r="I9" s="85">
        <v>5.0000000000000001E-3</v>
      </c>
      <c r="K9" s="160" t="s">
        <v>96</v>
      </c>
      <c r="L9" s="161"/>
      <c r="M9" s="80">
        <v>808</v>
      </c>
      <c r="O9" s="162" t="s">
        <v>168</v>
      </c>
      <c r="P9" s="163"/>
      <c r="Q9" s="82"/>
      <c r="AB9" s="113">
        <f t="shared" si="0"/>
        <v>340</v>
      </c>
      <c r="AC9" s="113">
        <v>15</v>
      </c>
      <c r="AD9" s="116">
        <f t="shared" si="2"/>
        <v>1.06</v>
      </c>
      <c r="AF9" s="115">
        <f t="shared" si="1"/>
        <v>0.3</v>
      </c>
    </row>
    <row r="10" spans="1:39" ht="15" x14ac:dyDescent="0.25">
      <c r="A10" s="162" t="s">
        <v>26</v>
      </c>
      <c r="B10" s="163"/>
      <c r="C10" s="60">
        <f>ENCAISSEMENTS!E39</f>
        <v>44900</v>
      </c>
      <c r="F10" s="162" t="s">
        <v>4</v>
      </c>
      <c r="G10" s="164"/>
      <c r="H10" s="163"/>
      <c r="I10" s="82">
        <v>0.01</v>
      </c>
      <c r="K10" s="160" t="s">
        <v>97</v>
      </c>
      <c r="L10" s="161"/>
      <c r="M10" s="84">
        <v>50</v>
      </c>
      <c r="O10" s="162" t="s">
        <v>12</v>
      </c>
      <c r="P10" s="163"/>
      <c r="Q10" s="79"/>
      <c r="S10" s="162" t="s">
        <v>193</v>
      </c>
      <c r="T10" s="164"/>
      <c r="U10" s="163"/>
      <c r="V10" s="154">
        <f>DECAISSEMENTS!C39/(ENCAISSEMENTS!D39*1000)</f>
        <v>1.1111111111111112</v>
      </c>
      <c r="AB10" s="113">
        <f t="shared" si="0"/>
        <v>360</v>
      </c>
      <c r="AC10" s="113">
        <v>16</v>
      </c>
      <c r="AD10" s="116">
        <f t="shared" si="2"/>
        <v>1.07</v>
      </c>
      <c r="AF10" s="115">
        <f t="shared" si="1"/>
        <v>0.35</v>
      </c>
    </row>
    <row r="11" spans="1:39" ht="15" x14ac:dyDescent="0.25">
      <c r="A11" s="132" t="s">
        <v>28</v>
      </c>
      <c r="B11" s="133"/>
      <c r="C11" s="61">
        <f>DECAISSEMENTS!M39</f>
        <v>40000</v>
      </c>
      <c r="F11" s="162" t="s">
        <v>43</v>
      </c>
      <c r="G11" s="164"/>
      <c r="H11" s="163"/>
      <c r="I11" s="86">
        <v>0</v>
      </c>
      <c r="K11" s="162" t="s">
        <v>30</v>
      </c>
      <c r="L11" s="163"/>
      <c r="M11" s="57">
        <f>1.01*C11-M8-Q8-M14</f>
        <v>0</v>
      </c>
      <c r="N11"/>
      <c r="AB11" s="113">
        <f>AB12-20</f>
        <v>380</v>
      </c>
      <c r="AD11" s="116">
        <f t="shared" si="2"/>
        <v>1.08</v>
      </c>
      <c r="AF11" s="115">
        <f t="shared" si="1"/>
        <v>0.39999999999999997</v>
      </c>
    </row>
    <row r="12" spans="1:39" ht="15" x14ac:dyDescent="0.25">
      <c r="A12" s="132" t="s">
        <v>25</v>
      </c>
      <c r="B12" s="133"/>
      <c r="C12" s="61">
        <f>ENCAISSEMENTS!H39</f>
        <v>4490</v>
      </c>
      <c r="F12" s="162" t="s">
        <v>44</v>
      </c>
      <c r="G12" s="164"/>
      <c r="H12" s="163"/>
      <c r="I12" s="87">
        <v>0.57499999999999996</v>
      </c>
      <c r="K12" s="160" t="s">
        <v>45</v>
      </c>
      <c r="L12" s="161"/>
      <c r="M12" s="83"/>
      <c r="AB12" s="113">
        <v>400</v>
      </c>
      <c r="AD12" s="116">
        <f t="shared" si="2"/>
        <v>1.0900000000000001</v>
      </c>
      <c r="AF12" s="115">
        <f t="shared" si="1"/>
        <v>0.44999999999999996</v>
      </c>
    </row>
    <row r="13" spans="1:39" ht="15" x14ac:dyDescent="0.25">
      <c r="A13" s="132" t="s">
        <v>29</v>
      </c>
      <c r="B13" s="133"/>
      <c r="C13" s="62">
        <f>DECAISSEMENTS!K80</f>
        <v>817.5</v>
      </c>
      <c r="F13" s="162" t="s">
        <v>14</v>
      </c>
      <c r="G13" s="164"/>
      <c r="H13" s="163"/>
      <c r="I13" s="87">
        <v>0.03</v>
      </c>
      <c r="K13" s="160" t="s">
        <v>12</v>
      </c>
      <c r="L13" s="161"/>
      <c r="M13" s="80"/>
      <c r="AB13" s="113">
        <v>450</v>
      </c>
      <c r="AD13" s="116">
        <f t="shared" si="2"/>
        <v>1.1000000000000001</v>
      </c>
      <c r="AF13" s="115">
        <f t="shared" si="1"/>
        <v>0.49999999999999994</v>
      </c>
    </row>
    <row r="14" spans="1:39" ht="15" x14ac:dyDescent="0.25">
      <c r="A14" s="162" t="s">
        <v>38</v>
      </c>
      <c r="B14" s="163"/>
      <c r="C14" s="62">
        <f>DECAISSEMENTS!E84+DECAISSEMENTS!E85</f>
        <v>0</v>
      </c>
      <c r="F14" s="162" t="s">
        <v>34</v>
      </c>
      <c r="G14" s="164"/>
      <c r="H14" s="163"/>
      <c r="I14" s="87">
        <v>0.17199999999999999</v>
      </c>
      <c r="K14" s="160" t="s">
        <v>191</v>
      </c>
      <c r="L14" s="161"/>
      <c r="M14" s="80"/>
      <c r="AB14" s="113">
        <v>475</v>
      </c>
      <c r="AD14" s="116">
        <f t="shared" si="2"/>
        <v>1.1100000000000001</v>
      </c>
      <c r="AF14" s="115">
        <f t="shared" si="1"/>
        <v>0.54999999999999993</v>
      </c>
    </row>
    <row r="15" spans="1:39" ht="14.45" customHeight="1" x14ac:dyDescent="0.25">
      <c r="A15" s="160" t="s">
        <v>63</v>
      </c>
      <c r="B15" s="161"/>
      <c r="C15" s="62">
        <f>DECAISSEMENTS!E86</f>
        <v>0</v>
      </c>
      <c r="F15" s="171" t="s">
        <v>46</v>
      </c>
      <c r="G15" s="172"/>
      <c r="H15" s="173"/>
      <c r="I15" s="87">
        <v>0.99</v>
      </c>
      <c r="K15"/>
      <c r="L15"/>
      <c r="M15"/>
      <c r="N15"/>
      <c r="AB15" s="113">
        <v>500</v>
      </c>
      <c r="AD15" s="116">
        <f t="shared" si="2"/>
        <v>1.1200000000000001</v>
      </c>
      <c r="AF15" s="118">
        <v>0.57499999999999996</v>
      </c>
    </row>
    <row r="16" spans="1:39" ht="14.45" customHeight="1" x14ac:dyDescent="0.25">
      <c r="A16" s="160" t="s">
        <v>190</v>
      </c>
      <c r="B16" s="161"/>
      <c r="C16" s="62">
        <f>DECAISSEMENTS!E87</f>
        <v>0</v>
      </c>
      <c r="F16" s="63" t="s">
        <v>99</v>
      </c>
      <c r="G16" s="64"/>
      <c r="H16" s="65"/>
      <c r="I16" s="88"/>
      <c r="AB16" s="113">
        <f>AB15+50</f>
        <v>550</v>
      </c>
      <c r="AD16" s="116">
        <f t="shared" si="2"/>
        <v>1.1300000000000001</v>
      </c>
      <c r="AF16" s="115">
        <f>AF14+5%</f>
        <v>0.6</v>
      </c>
    </row>
    <row r="17" spans="1:44" ht="16.899999999999999" customHeight="1" x14ac:dyDescent="0.25">
      <c r="AB17" s="113">
        <f>AB16+10</f>
        <v>560</v>
      </c>
      <c r="AD17" s="116">
        <f t="shared" si="2"/>
        <v>1.1400000000000001</v>
      </c>
      <c r="AF17" s="115">
        <f>AF16+5%</f>
        <v>0.65</v>
      </c>
    </row>
    <row r="18" spans="1:44" ht="16.899999999999999" customHeight="1" x14ac:dyDescent="0.25">
      <c r="A18" s="165" t="s">
        <v>2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AB18" s="113">
        <f t="shared" ref="AB18:AB47" si="3">AB17+10</f>
        <v>570</v>
      </c>
      <c r="AD18" s="116">
        <f t="shared" si="2"/>
        <v>1.1500000000000001</v>
      </c>
      <c r="AF18" s="115">
        <f>AF17+5%</f>
        <v>0.70000000000000007</v>
      </c>
    </row>
    <row r="19" spans="1:44" ht="16.899999999999999" customHeight="1" thickBot="1" x14ac:dyDescent="0.3">
      <c r="AB19" s="113">
        <f t="shared" si="3"/>
        <v>580</v>
      </c>
      <c r="AD19" s="116">
        <f t="shared" si="2"/>
        <v>1.1600000000000001</v>
      </c>
      <c r="AF19" s="115">
        <f>AF18+5%</f>
        <v>0.75000000000000011</v>
      </c>
    </row>
    <row r="20" spans="1:44" ht="16.899999999999999" customHeight="1" x14ac:dyDescent="0.25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3">
        <f t="shared" si="3"/>
        <v>590</v>
      </c>
      <c r="AF20" s="115">
        <f>AF19+5%</f>
        <v>0.80000000000000016</v>
      </c>
      <c r="AN20" s="8"/>
      <c r="AO20" s="8"/>
      <c r="AP20" s="8"/>
      <c r="AQ20" s="8"/>
      <c r="AR20" s="9"/>
    </row>
    <row r="21" spans="1:44" ht="16.899999999999999" customHeight="1" x14ac:dyDescent="0.25">
      <c r="A21" s="156" t="s">
        <v>31</v>
      </c>
      <c r="B21" s="157"/>
      <c r="C21" s="128"/>
      <c r="D21" s="60">
        <f>C12*$I$15</f>
        <v>4445.1000000000004</v>
      </c>
      <c r="E21" s="60">
        <f t="shared" ref="E21:W21" si="4">$D$21*(1-perte_prod)^(E20-1)*(1+index_tarif)^(E20-1)</f>
        <v>4444.9888724999992</v>
      </c>
      <c r="F21" s="60">
        <f t="shared" si="4"/>
        <v>4444.8777477781869</v>
      </c>
      <c r="G21" s="60">
        <f t="shared" si="4"/>
        <v>4444.7666258344925</v>
      </c>
      <c r="H21" s="60">
        <f t="shared" si="4"/>
        <v>4444.6555066688452</v>
      </c>
      <c r="I21" s="60">
        <f t="shared" si="4"/>
        <v>4444.5443902811776</v>
      </c>
      <c r="J21" s="60">
        <f t="shared" si="4"/>
        <v>4444.4332766714197</v>
      </c>
      <c r="K21" s="60">
        <f t="shared" si="4"/>
        <v>4444.3221658395023</v>
      </c>
      <c r="L21" s="60">
        <f t="shared" si="4"/>
        <v>4444.2110577853564</v>
      </c>
      <c r="M21" s="60">
        <f t="shared" si="4"/>
        <v>4444.099952508911</v>
      </c>
      <c r="N21" s="60">
        <f t="shared" si="4"/>
        <v>4443.9888500100978</v>
      </c>
      <c r="O21" s="60">
        <f t="shared" si="4"/>
        <v>4443.877750288847</v>
      </c>
      <c r="P21" s="60">
        <f t="shared" si="4"/>
        <v>4443.7666533450883</v>
      </c>
      <c r="Q21" s="60">
        <f t="shared" si="4"/>
        <v>4443.6555591787546</v>
      </c>
      <c r="R21" s="60">
        <f t="shared" si="4"/>
        <v>4443.5444677897749</v>
      </c>
      <c r="S21" s="60">
        <f t="shared" si="4"/>
        <v>4443.4333791780791</v>
      </c>
      <c r="T21" s="60">
        <f t="shared" si="4"/>
        <v>4443.3222933435991</v>
      </c>
      <c r="U21" s="60">
        <f t="shared" si="4"/>
        <v>4443.2112102862648</v>
      </c>
      <c r="V21" s="60">
        <f t="shared" si="4"/>
        <v>4443.1001300060061</v>
      </c>
      <c r="W21" s="60">
        <f t="shared" si="4"/>
        <v>4442.9890525027558</v>
      </c>
      <c r="AB21" s="113">
        <f t="shared" si="3"/>
        <v>600</v>
      </c>
      <c r="AF21" s="115">
        <f t="shared" ref="AF21:AF24" si="5">AF20+5%</f>
        <v>0.8500000000000002</v>
      </c>
    </row>
    <row r="22" spans="1:44" ht="16.899999999999999" customHeight="1" x14ac:dyDescent="0.25">
      <c r="A22" s="156" t="s">
        <v>1</v>
      </c>
      <c r="B22" s="157"/>
      <c r="C22" s="128"/>
      <c r="D22" s="60">
        <f>C14+C13</f>
        <v>817.5</v>
      </c>
      <c r="E22" s="60">
        <f t="shared" ref="E22:M22" si="6">$C$13*(1+inflation)^(E20-1)</f>
        <v>825.67499999999995</v>
      </c>
      <c r="F22" s="60">
        <f t="shared" si="6"/>
        <v>833.93174999999997</v>
      </c>
      <c r="G22" s="60">
        <f t="shared" si="6"/>
        <v>842.27106749999996</v>
      </c>
      <c r="H22" s="60">
        <f t="shared" si="6"/>
        <v>850.69377817500003</v>
      </c>
      <c r="I22" s="60">
        <f t="shared" si="6"/>
        <v>859.20071595674995</v>
      </c>
      <c r="J22" s="60">
        <f t="shared" si="6"/>
        <v>867.79272311631757</v>
      </c>
      <c r="K22" s="60">
        <f t="shared" si="6"/>
        <v>876.4706503474805</v>
      </c>
      <c r="L22" s="60">
        <f t="shared" si="6"/>
        <v>885.23535685095555</v>
      </c>
      <c r="M22" s="60">
        <f t="shared" si="6"/>
        <v>894.08771041946522</v>
      </c>
      <c r="N22" s="60">
        <f>(C15+C13+C16/5)*(1+inflation)^(N20-1)</f>
        <v>903.02858752365989</v>
      </c>
      <c r="O22" s="60">
        <f>($C$13+C16/5)*(1+inflation)^(O20-1)</f>
        <v>912.05887339889625</v>
      </c>
      <c r="P22" s="60">
        <f>($C$13+C16/5)*(1+inflation)^(P20-1)</f>
        <v>921.17946213288531</v>
      </c>
      <c r="Q22" s="60">
        <f>($C$13+C16/5)*(1+inflation)^(Q20-1)</f>
        <v>930.39125675421417</v>
      </c>
      <c r="R22" s="60">
        <f>($C$13+C16/5)*(1+inflation)^(R20-1)</f>
        <v>939.69516932175645</v>
      </c>
      <c r="S22" s="60">
        <f t="shared" ref="S22:W22" si="7">$C$13*(1+inflation)^(S20-1)</f>
        <v>949.09212101497371</v>
      </c>
      <c r="T22" s="60">
        <f t="shared" si="7"/>
        <v>958.58304222512379</v>
      </c>
      <c r="U22" s="60">
        <f t="shared" si="7"/>
        <v>968.168872647375</v>
      </c>
      <c r="V22" s="60">
        <f t="shared" si="7"/>
        <v>977.85056137384879</v>
      </c>
      <c r="W22" s="60">
        <f t="shared" si="7"/>
        <v>987.62906698758707</v>
      </c>
      <c r="AB22" s="113">
        <f t="shared" si="3"/>
        <v>610</v>
      </c>
      <c r="AF22" s="115">
        <f t="shared" si="5"/>
        <v>0.90000000000000024</v>
      </c>
    </row>
    <row r="23" spans="1:44" s="67" customFormat="1" ht="16.899999999999999" customHeight="1" x14ac:dyDescent="0.25">
      <c r="A23" s="158" t="s">
        <v>5</v>
      </c>
      <c r="B23" s="159"/>
      <c r="C23" s="130"/>
      <c r="D23" s="66">
        <f>D21-D22</f>
        <v>3627.6000000000004</v>
      </c>
      <c r="E23" s="66">
        <f t="shared" ref="E23:W23" si="8">E21-E22</f>
        <v>3619.313872499999</v>
      </c>
      <c r="F23" s="66">
        <f t="shared" si="8"/>
        <v>3610.9459977781871</v>
      </c>
      <c r="G23" s="66">
        <f t="shared" si="8"/>
        <v>3602.4955583344927</v>
      </c>
      <c r="H23" s="66">
        <f t="shared" si="8"/>
        <v>3593.9617284938449</v>
      </c>
      <c r="I23" s="66">
        <f t="shared" si="8"/>
        <v>3585.3436743244274</v>
      </c>
      <c r="J23" s="66">
        <f t="shared" si="8"/>
        <v>3576.6405535551021</v>
      </c>
      <c r="K23" s="66">
        <f t="shared" si="8"/>
        <v>3567.8515154920219</v>
      </c>
      <c r="L23" s="66">
        <f t="shared" si="8"/>
        <v>3558.9757009344007</v>
      </c>
      <c r="M23" s="66">
        <f t="shared" si="8"/>
        <v>3550.0122420894459</v>
      </c>
      <c r="N23" s="66">
        <f t="shared" si="8"/>
        <v>3540.9602624864378</v>
      </c>
      <c r="O23" s="66">
        <f t="shared" si="8"/>
        <v>3531.8188768899508</v>
      </c>
      <c r="P23" s="66">
        <f t="shared" si="8"/>
        <v>3522.5871912122029</v>
      </c>
      <c r="Q23" s="66">
        <f t="shared" si="8"/>
        <v>3513.2643024245403</v>
      </c>
      <c r="R23" s="66">
        <f t="shared" si="8"/>
        <v>3503.8492984680183</v>
      </c>
      <c r="S23" s="66">
        <f t="shared" si="8"/>
        <v>3494.3412581631055</v>
      </c>
      <c r="T23" s="66">
        <f t="shared" si="8"/>
        <v>3484.7392511184753</v>
      </c>
      <c r="U23" s="66">
        <f t="shared" si="8"/>
        <v>3475.0423376388899</v>
      </c>
      <c r="V23" s="66">
        <f t="shared" si="8"/>
        <v>3465.2495686321572</v>
      </c>
      <c r="W23" s="66">
        <f t="shared" si="8"/>
        <v>3455.3599855151688</v>
      </c>
      <c r="AA23" s="113"/>
      <c r="AB23" s="113">
        <f t="shared" si="3"/>
        <v>620</v>
      </c>
      <c r="AC23" s="113"/>
      <c r="AD23" s="113"/>
      <c r="AE23" s="113"/>
      <c r="AF23" s="115">
        <f t="shared" si="5"/>
        <v>0.95000000000000029</v>
      </c>
      <c r="AG23" s="113"/>
      <c r="AH23" s="113"/>
      <c r="AI23" s="113"/>
    </row>
    <row r="24" spans="1:44" ht="16.899999999999999" customHeight="1" x14ac:dyDescent="0.25">
      <c r="A24" s="156" t="s">
        <v>84</v>
      </c>
      <c r="B24" s="157"/>
      <c r="C24" s="128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3">
        <f t="shared" si="3"/>
        <v>630</v>
      </c>
      <c r="AF24" s="115">
        <f t="shared" si="5"/>
        <v>1.0000000000000002</v>
      </c>
    </row>
    <row r="25" spans="1:44" s="67" customFormat="1" ht="16.899999999999999" customHeight="1" x14ac:dyDescent="0.25">
      <c r="A25" s="158" t="s">
        <v>6</v>
      </c>
      <c r="B25" s="159"/>
      <c r="C25" s="130"/>
      <c r="D25" s="66">
        <f>D23-D24</f>
        <v>3627.6000000000004</v>
      </c>
      <c r="E25" s="66">
        <f t="shared" ref="E25:I25" si="10">E23-E24</f>
        <v>3619.313872499999</v>
      </c>
      <c r="F25" s="66">
        <f t="shared" si="10"/>
        <v>3610.9459977781871</v>
      </c>
      <c r="G25" s="66">
        <f t="shared" si="10"/>
        <v>3602.4955583344927</v>
      </c>
      <c r="H25" s="66">
        <f t="shared" si="10"/>
        <v>3593.9617284938449</v>
      </c>
      <c r="I25" s="66">
        <f t="shared" si="10"/>
        <v>3585.3436743244274</v>
      </c>
      <c r="J25" s="66">
        <f t="shared" ref="J25" si="11">J23-J24</f>
        <v>3576.6405535551021</v>
      </c>
      <c r="K25" s="66">
        <f t="shared" ref="K25" si="12">K23-K24</f>
        <v>3567.8515154920219</v>
      </c>
      <c r="L25" s="66">
        <f t="shared" ref="L25" si="13">L23-L24</f>
        <v>3558.9757009344007</v>
      </c>
      <c r="M25" s="66">
        <f t="shared" ref="M25" si="14">M23-M24</f>
        <v>3550.0122420894459</v>
      </c>
      <c r="N25" s="66">
        <f t="shared" ref="N25" si="15">N23-N24</f>
        <v>3540.9602624864378</v>
      </c>
      <c r="O25" s="66">
        <f t="shared" ref="O25" si="16">O23-O24</f>
        <v>3531.8188768899508</v>
      </c>
      <c r="P25" s="66">
        <f t="shared" ref="P25" si="17">P23-P24</f>
        <v>3522.5871912122029</v>
      </c>
      <c r="Q25" s="66">
        <f t="shared" ref="Q25" si="18">Q23-Q24</f>
        <v>3513.2643024245403</v>
      </c>
      <c r="R25" s="66">
        <f t="shared" ref="R25" si="19">R23-R24</f>
        <v>3503.8492984680183</v>
      </c>
      <c r="S25" s="66">
        <f t="shared" ref="S25" si="20">S23-S24</f>
        <v>3494.3412581631055</v>
      </c>
      <c r="T25" s="66">
        <f t="shared" ref="T25" si="21">T23-T24</f>
        <v>3484.7392511184753</v>
      </c>
      <c r="U25" s="66">
        <f t="shared" ref="U25" si="22">U23-U24</f>
        <v>3475.0423376388899</v>
      </c>
      <c r="V25" s="66">
        <f t="shared" ref="V25" si="23">V23-V24</f>
        <v>3465.2495686321572</v>
      </c>
      <c r="W25" s="66">
        <f t="shared" ref="W25" si="24">W23-W24</f>
        <v>3455.3599855151688</v>
      </c>
      <c r="AA25" s="113"/>
      <c r="AB25" s="113">
        <f t="shared" si="3"/>
        <v>640</v>
      </c>
      <c r="AC25" s="113"/>
      <c r="AD25" s="113"/>
      <c r="AE25" s="113"/>
      <c r="AF25" s="115"/>
      <c r="AG25" s="113"/>
      <c r="AH25" s="113"/>
      <c r="AI25" s="113"/>
    </row>
    <row r="26" spans="1:44" ht="16.899999999999999" customHeight="1" x14ac:dyDescent="0.25">
      <c r="A26" s="156" t="s">
        <v>7</v>
      </c>
      <c r="B26" s="157"/>
      <c r="C26" s="128"/>
      <c r="D26" s="60">
        <f>($C$11-$M$14)/20</f>
        <v>2000</v>
      </c>
      <c r="E26" s="60">
        <f t="shared" ref="E26:W26" si="25">($C$11-$M$14)/20</f>
        <v>2000</v>
      </c>
      <c r="F26" s="60">
        <f t="shared" si="25"/>
        <v>2000</v>
      </c>
      <c r="G26" s="60">
        <f t="shared" si="25"/>
        <v>2000</v>
      </c>
      <c r="H26" s="60">
        <f t="shared" si="25"/>
        <v>2000</v>
      </c>
      <c r="I26" s="60">
        <f t="shared" si="25"/>
        <v>2000</v>
      </c>
      <c r="J26" s="60">
        <f t="shared" si="25"/>
        <v>2000</v>
      </c>
      <c r="K26" s="60">
        <f t="shared" si="25"/>
        <v>2000</v>
      </c>
      <c r="L26" s="60">
        <f t="shared" si="25"/>
        <v>2000</v>
      </c>
      <c r="M26" s="60">
        <f t="shared" si="25"/>
        <v>2000</v>
      </c>
      <c r="N26" s="60">
        <f t="shared" si="25"/>
        <v>2000</v>
      </c>
      <c r="O26" s="60">
        <f t="shared" si="25"/>
        <v>2000</v>
      </c>
      <c r="P26" s="60">
        <f t="shared" si="25"/>
        <v>2000</v>
      </c>
      <c r="Q26" s="60">
        <f t="shared" si="25"/>
        <v>2000</v>
      </c>
      <c r="R26" s="60">
        <f t="shared" si="25"/>
        <v>2000</v>
      </c>
      <c r="S26" s="60">
        <f t="shared" si="25"/>
        <v>2000</v>
      </c>
      <c r="T26" s="60">
        <f t="shared" si="25"/>
        <v>2000</v>
      </c>
      <c r="U26" s="60">
        <f t="shared" si="25"/>
        <v>2000</v>
      </c>
      <c r="V26" s="60">
        <f t="shared" si="25"/>
        <v>2000</v>
      </c>
      <c r="W26" s="60">
        <f t="shared" si="25"/>
        <v>2000</v>
      </c>
      <c r="AB26" s="113">
        <f t="shared" si="3"/>
        <v>650</v>
      </c>
      <c r="AF26" s="115"/>
    </row>
    <row r="27" spans="1:44" ht="15" x14ac:dyDescent="0.25">
      <c r="A27" s="157" t="s">
        <v>8</v>
      </c>
      <c r="B27" s="169"/>
      <c r="C27" s="129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3">
        <f t="shared" si="3"/>
        <v>660</v>
      </c>
      <c r="AF27" s="115"/>
    </row>
    <row r="28" spans="1:44" s="67" customFormat="1" ht="16.899999999999999" customHeight="1" x14ac:dyDescent="0.25">
      <c r="A28" s="158" t="s">
        <v>9</v>
      </c>
      <c r="B28" s="159"/>
      <c r="C28" s="130"/>
      <c r="D28" s="66">
        <f t="shared" ref="D28:W28" si="26">D25-D26-D27</f>
        <v>1627.6000000000004</v>
      </c>
      <c r="E28" s="66">
        <f t="shared" si="26"/>
        <v>1619.313872499999</v>
      </c>
      <c r="F28" s="66">
        <f t="shared" si="26"/>
        <v>1610.9459977781871</v>
      </c>
      <c r="G28" s="66">
        <f t="shared" si="26"/>
        <v>1602.4955583344927</v>
      </c>
      <c r="H28" s="66">
        <f t="shared" si="26"/>
        <v>1593.9617284938449</v>
      </c>
      <c r="I28" s="66">
        <f t="shared" si="26"/>
        <v>1585.3436743244274</v>
      </c>
      <c r="J28" s="66">
        <f t="shared" si="26"/>
        <v>1576.6405535551021</v>
      </c>
      <c r="K28" s="66">
        <f t="shared" si="26"/>
        <v>1567.8515154920219</v>
      </c>
      <c r="L28" s="66">
        <f t="shared" si="26"/>
        <v>1558.9757009344007</v>
      </c>
      <c r="M28" s="66">
        <f t="shared" si="26"/>
        <v>1550.0122420894459</v>
      </c>
      <c r="N28" s="66">
        <f t="shared" si="26"/>
        <v>1540.9602624864378</v>
      </c>
      <c r="O28" s="66">
        <f t="shared" si="26"/>
        <v>1531.8188768899508</v>
      </c>
      <c r="P28" s="66">
        <f t="shared" si="26"/>
        <v>1522.5871912122029</v>
      </c>
      <c r="Q28" s="66">
        <f t="shared" si="26"/>
        <v>1513.2643024245403</v>
      </c>
      <c r="R28" s="66">
        <f t="shared" si="26"/>
        <v>1503.8492984680183</v>
      </c>
      <c r="S28" s="66">
        <f t="shared" si="26"/>
        <v>1494.3412581631055</v>
      </c>
      <c r="T28" s="66">
        <f t="shared" si="26"/>
        <v>1484.7392511184753</v>
      </c>
      <c r="U28" s="66">
        <f t="shared" si="26"/>
        <v>1475.0423376388899</v>
      </c>
      <c r="V28" s="66">
        <f t="shared" si="26"/>
        <v>1465.2495686321572</v>
      </c>
      <c r="W28" s="66">
        <f t="shared" si="26"/>
        <v>1455.3599855151688</v>
      </c>
      <c r="AA28" s="113"/>
      <c r="AB28" s="113">
        <f t="shared" si="3"/>
        <v>670</v>
      </c>
      <c r="AC28" s="113"/>
      <c r="AD28" s="113"/>
      <c r="AE28" s="113"/>
      <c r="AF28" s="115"/>
      <c r="AG28" s="113"/>
      <c r="AH28" s="113"/>
      <c r="AI28" s="113"/>
    </row>
    <row r="29" spans="1:44" ht="16.899999999999999" customHeight="1" x14ac:dyDescent="0.25">
      <c r="A29" s="174" t="s">
        <v>13</v>
      </c>
      <c r="B29" s="175"/>
      <c r="C29" s="127"/>
      <c r="D29" s="60">
        <f t="shared" ref="D29:W29" si="27">IF(D20&lt;=$M$13,-IPMT($M$12,D20,$M$13,$M$11),0)</f>
        <v>0</v>
      </c>
      <c r="E29" s="60">
        <f t="shared" si="27"/>
        <v>0</v>
      </c>
      <c r="F29" s="60">
        <f t="shared" si="27"/>
        <v>0</v>
      </c>
      <c r="G29" s="60">
        <f t="shared" si="27"/>
        <v>0</v>
      </c>
      <c r="H29" s="60">
        <f t="shared" si="27"/>
        <v>0</v>
      </c>
      <c r="I29" s="60">
        <f t="shared" si="27"/>
        <v>0</v>
      </c>
      <c r="J29" s="60">
        <f t="shared" si="27"/>
        <v>0</v>
      </c>
      <c r="K29" s="60">
        <f t="shared" si="27"/>
        <v>0</v>
      </c>
      <c r="L29" s="60">
        <f t="shared" si="27"/>
        <v>0</v>
      </c>
      <c r="M29" s="60">
        <f t="shared" si="27"/>
        <v>0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3">
        <f t="shared" si="3"/>
        <v>680</v>
      </c>
      <c r="AF29" s="115"/>
    </row>
    <row r="30" spans="1:44" ht="15" x14ac:dyDescent="0.25">
      <c r="A30" s="156" t="s">
        <v>64</v>
      </c>
      <c r="B30" s="157"/>
      <c r="C30" s="128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3">
        <f t="shared" si="3"/>
        <v>690</v>
      </c>
      <c r="AF30" s="115"/>
    </row>
    <row r="31" spans="1:44" s="67" customFormat="1" ht="16.899999999999999" customHeight="1" x14ac:dyDescent="0.25">
      <c r="A31" s="158" t="s">
        <v>10</v>
      </c>
      <c r="B31" s="159"/>
      <c r="C31" s="130"/>
      <c r="D31" s="66">
        <f t="shared" ref="D31:W31" si="29">D28-D29-D30</f>
        <v>1627.6000000000004</v>
      </c>
      <c r="E31" s="66">
        <f t="shared" si="29"/>
        <v>1619.313872499999</v>
      </c>
      <c r="F31" s="66">
        <f t="shared" si="29"/>
        <v>1610.9459977781871</v>
      </c>
      <c r="G31" s="66">
        <f t="shared" si="29"/>
        <v>1602.4955583344927</v>
      </c>
      <c r="H31" s="66">
        <f t="shared" si="29"/>
        <v>1593.9617284938449</v>
      </c>
      <c r="I31" s="66">
        <f t="shared" si="29"/>
        <v>1585.3436743244274</v>
      </c>
      <c r="J31" s="66">
        <f t="shared" si="29"/>
        <v>1576.6405535551021</v>
      </c>
      <c r="K31" s="66">
        <f t="shared" si="29"/>
        <v>1567.8515154920219</v>
      </c>
      <c r="L31" s="66">
        <f t="shared" si="29"/>
        <v>1558.9757009344007</v>
      </c>
      <c r="M31" s="66">
        <f t="shared" si="29"/>
        <v>1550.0122420894459</v>
      </c>
      <c r="N31" s="66">
        <f t="shared" si="29"/>
        <v>1540.9602624864378</v>
      </c>
      <c r="O31" s="66">
        <f t="shared" si="29"/>
        <v>1531.8188768899508</v>
      </c>
      <c r="P31" s="66">
        <f t="shared" si="29"/>
        <v>1522.5871912122029</v>
      </c>
      <c r="Q31" s="66">
        <f t="shared" si="29"/>
        <v>1513.2643024245403</v>
      </c>
      <c r="R31" s="66">
        <f t="shared" si="29"/>
        <v>1503.8492984680183</v>
      </c>
      <c r="S31" s="66">
        <f t="shared" si="29"/>
        <v>1494.3412581631055</v>
      </c>
      <c r="T31" s="66">
        <f t="shared" si="29"/>
        <v>1484.7392511184753</v>
      </c>
      <c r="U31" s="66">
        <f t="shared" si="29"/>
        <v>1475.0423376388899</v>
      </c>
      <c r="V31" s="66">
        <f t="shared" si="29"/>
        <v>1465.2495686321572</v>
      </c>
      <c r="W31" s="66">
        <f t="shared" si="29"/>
        <v>1455.3599855151688</v>
      </c>
      <c r="AA31" s="113"/>
      <c r="AB31" s="113">
        <f t="shared" si="3"/>
        <v>700</v>
      </c>
      <c r="AC31" s="113"/>
      <c r="AD31" s="113"/>
      <c r="AE31" s="113"/>
      <c r="AF31" s="115"/>
      <c r="AG31" s="113"/>
      <c r="AH31" s="113"/>
      <c r="AI31" s="113"/>
    </row>
    <row r="32" spans="1:44" ht="15" x14ac:dyDescent="0.25">
      <c r="A32" s="156" t="s">
        <v>47</v>
      </c>
      <c r="B32" s="157"/>
      <c r="C32" s="128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3">
        <f t="shared" si="3"/>
        <v>710</v>
      </c>
      <c r="AF32" s="115"/>
    </row>
    <row r="33" spans="1:35" ht="15" x14ac:dyDescent="0.25">
      <c r="A33" s="156" t="s">
        <v>82</v>
      </c>
      <c r="B33" s="157"/>
      <c r="C33" s="128"/>
      <c r="D33" s="60">
        <f>IF(D31&lt;0,0,IF(D31&lt;38120,IF(B4="SAS",0.15*D31,0.15*D31*(1-I11)),IF(B4="SAS",0.33*D31,0.33*D31*(1-I11))))</f>
        <v>244.14000000000004</v>
      </c>
      <c r="E33" s="60">
        <f>IF(E31+D32&lt;0,0,IF(E31&lt;38120,IF($B$4="SAS",0.15*(E31+D32),0.15*(E31+D32)*(1-$I$11)),IF($B$4="SAS",0.33*(E31+D32),0.33*(1-$I$11)*(E31+D32))))</f>
        <v>242.89708087499983</v>
      </c>
      <c r="F33" s="60">
        <f>IF(F31+E32&lt;0,0,IF(F31&lt;38120,IF($B$4="SAS",0.15*(F31+E32),0.15*(F31+E32)*(1-$I$11)),IF($B$4="SAS",0.33*(F31+E32),0.33*(1-$I$11)*(F31+E32))))</f>
        <v>241.64189966672805</v>
      </c>
      <c r="G33" s="60">
        <f t="shared" ref="G33:W33" si="41">IF(G31+F32&lt;0,0,IF(G31&lt;38120,IF($B$4="SAS",0.15*(G31+F32),0.15*(G31+F32)*(1-$I$12)),IF($B$4="SAS",0.33*(G31+F32),0.33*(1-$I$12)*(G31+F32))))</f>
        <v>102.15909184382392</v>
      </c>
      <c r="H33" s="60">
        <f t="shared" si="41"/>
        <v>101.61506019148263</v>
      </c>
      <c r="I33" s="60">
        <f t="shared" si="41"/>
        <v>101.06565923818225</v>
      </c>
      <c r="J33" s="60">
        <f t="shared" si="41"/>
        <v>100.51083528913776</v>
      </c>
      <c r="K33" s="60">
        <f t="shared" si="41"/>
        <v>99.95053411261641</v>
      </c>
      <c r="L33" s="60">
        <f t="shared" si="41"/>
        <v>99.384700934568045</v>
      </c>
      <c r="M33" s="60">
        <f t="shared" si="41"/>
        <v>98.813280433202181</v>
      </c>
      <c r="N33" s="60">
        <f t="shared" si="41"/>
        <v>98.236216733510417</v>
      </c>
      <c r="O33" s="60">
        <f t="shared" si="41"/>
        <v>97.653453401734367</v>
      </c>
      <c r="P33" s="60">
        <f t="shared" si="41"/>
        <v>97.064933439777946</v>
      </c>
      <c r="Q33" s="60">
        <f t="shared" si="41"/>
        <v>96.470599279564453</v>
      </c>
      <c r="R33" s="60">
        <f t="shared" si="41"/>
        <v>95.870392777336178</v>
      </c>
      <c r="S33" s="60">
        <f t="shared" si="41"/>
        <v>95.264255207897975</v>
      </c>
      <c r="T33" s="60">
        <f t="shared" si="41"/>
        <v>94.652127258802807</v>
      </c>
      <c r="U33" s="60">
        <f t="shared" si="41"/>
        <v>94.033949024479227</v>
      </c>
      <c r="V33" s="60">
        <f t="shared" si="41"/>
        <v>93.409660000300036</v>
      </c>
      <c r="W33" s="60">
        <f t="shared" si="41"/>
        <v>92.779199076592022</v>
      </c>
      <c r="AB33" s="113">
        <f t="shared" si="3"/>
        <v>720</v>
      </c>
      <c r="AF33" s="115"/>
    </row>
    <row r="34" spans="1:35" s="67" customFormat="1" ht="16.899999999999999" customHeight="1" x14ac:dyDescent="0.25">
      <c r="A34" s="158" t="s">
        <v>11</v>
      </c>
      <c r="B34" s="159"/>
      <c r="C34" s="130"/>
      <c r="D34" s="66">
        <f t="shared" ref="D34:W34" si="42">D31-D33</f>
        <v>1383.4600000000003</v>
      </c>
      <c r="E34" s="66">
        <f t="shared" si="42"/>
        <v>1376.4167916249992</v>
      </c>
      <c r="F34" s="66">
        <f t="shared" si="42"/>
        <v>1369.3040981114591</v>
      </c>
      <c r="G34" s="66">
        <f t="shared" si="42"/>
        <v>1500.3364664906687</v>
      </c>
      <c r="H34" s="66">
        <f t="shared" si="42"/>
        <v>1492.3466683023623</v>
      </c>
      <c r="I34" s="66">
        <f t="shared" si="42"/>
        <v>1484.2780150862452</v>
      </c>
      <c r="J34" s="66">
        <f t="shared" si="42"/>
        <v>1476.1297182659644</v>
      </c>
      <c r="K34" s="66">
        <f t="shared" si="42"/>
        <v>1467.9009813794055</v>
      </c>
      <c r="L34" s="66">
        <f t="shared" si="42"/>
        <v>1459.5909999998328</v>
      </c>
      <c r="M34" s="66">
        <f t="shared" si="42"/>
        <v>1451.1989616562437</v>
      </c>
      <c r="N34" s="66">
        <f t="shared" si="42"/>
        <v>1442.7240457529274</v>
      </c>
      <c r="O34" s="66">
        <f t="shared" si="42"/>
        <v>1434.1654234882164</v>
      </c>
      <c r="P34" s="66">
        <f t="shared" si="42"/>
        <v>1425.5222577724251</v>
      </c>
      <c r="Q34" s="66">
        <f t="shared" si="42"/>
        <v>1416.793703144976</v>
      </c>
      <c r="R34" s="66">
        <f t="shared" si="42"/>
        <v>1407.978905690682</v>
      </c>
      <c r="S34" s="66">
        <f t="shared" si="42"/>
        <v>1399.0770029552075</v>
      </c>
      <c r="T34" s="66">
        <f t="shared" si="42"/>
        <v>1390.0871238596724</v>
      </c>
      <c r="U34" s="66">
        <f t="shared" si="42"/>
        <v>1381.0083886144107</v>
      </c>
      <c r="V34" s="66">
        <f t="shared" si="42"/>
        <v>1371.8399086318573</v>
      </c>
      <c r="W34" s="66">
        <f t="shared" si="42"/>
        <v>1362.5807864385768</v>
      </c>
      <c r="AA34" s="113"/>
      <c r="AB34" s="113">
        <f t="shared" si="3"/>
        <v>730</v>
      </c>
      <c r="AC34" s="113"/>
      <c r="AD34" s="113"/>
      <c r="AE34" s="113"/>
      <c r="AF34" s="115"/>
      <c r="AG34" s="113"/>
      <c r="AH34" s="113"/>
      <c r="AI34" s="113"/>
    </row>
    <row r="35" spans="1:35" s="70" customFormat="1" ht="16.899999999999999" customHeight="1" x14ac:dyDescent="0.25">
      <c r="A35" s="68"/>
      <c r="B35" s="68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AA35" s="119"/>
      <c r="AB35" s="113">
        <f t="shared" si="3"/>
        <v>740</v>
      </c>
      <c r="AC35" s="119"/>
      <c r="AD35" s="119"/>
      <c r="AE35" s="119"/>
      <c r="AF35" s="119"/>
      <c r="AG35" s="119"/>
      <c r="AH35" s="119"/>
      <c r="AI35" s="119"/>
    </row>
    <row r="36" spans="1:35" ht="16.899999999999999" customHeight="1" x14ac:dyDescent="0.25">
      <c r="A36" s="156" t="s">
        <v>32</v>
      </c>
      <c r="B36" s="157"/>
      <c r="C36" s="128"/>
      <c r="D36" s="60">
        <f t="shared" ref="D36:W36" si="43">D34+D27+D26</f>
        <v>3383.46</v>
      </c>
      <c r="E36" s="60">
        <f t="shared" si="43"/>
        <v>3376.416791624999</v>
      </c>
      <c r="F36" s="60">
        <f t="shared" si="43"/>
        <v>3369.3040981114591</v>
      </c>
      <c r="G36" s="60">
        <f t="shared" si="43"/>
        <v>3500.3364664906685</v>
      </c>
      <c r="H36" s="60">
        <f t="shared" si="43"/>
        <v>3492.3466683023626</v>
      </c>
      <c r="I36" s="60">
        <f t="shared" si="43"/>
        <v>3484.2780150862454</v>
      </c>
      <c r="J36" s="60">
        <f t="shared" si="43"/>
        <v>3476.1297182659646</v>
      </c>
      <c r="K36" s="60">
        <f t="shared" si="43"/>
        <v>3467.9009813794055</v>
      </c>
      <c r="L36" s="60">
        <f t="shared" si="43"/>
        <v>3459.590999999833</v>
      </c>
      <c r="M36" s="60">
        <f t="shared" si="43"/>
        <v>3451.1989616562437</v>
      </c>
      <c r="N36" s="60">
        <f t="shared" si="43"/>
        <v>3442.7240457529274</v>
      </c>
      <c r="O36" s="60">
        <f t="shared" si="43"/>
        <v>3434.1654234882162</v>
      </c>
      <c r="P36" s="60">
        <f t="shared" si="43"/>
        <v>3425.5222577724253</v>
      </c>
      <c r="Q36" s="60">
        <f t="shared" si="43"/>
        <v>3416.793703144976</v>
      </c>
      <c r="R36" s="60">
        <f t="shared" si="43"/>
        <v>3407.978905690682</v>
      </c>
      <c r="S36" s="60">
        <f t="shared" si="43"/>
        <v>3399.0770029552077</v>
      </c>
      <c r="T36" s="60">
        <f t="shared" si="43"/>
        <v>3390.0871238596724</v>
      </c>
      <c r="U36" s="60">
        <f t="shared" si="43"/>
        <v>3381.0083886144107</v>
      </c>
      <c r="V36" s="60">
        <f t="shared" si="43"/>
        <v>3371.8399086318573</v>
      </c>
      <c r="W36" s="60">
        <f t="shared" si="43"/>
        <v>3362.580786438577</v>
      </c>
      <c r="AB36" s="113">
        <f t="shared" si="3"/>
        <v>750</v>
      </c>
      <c r="AF36" s="115"/>
    </row>
    <row r="37" spans="1:35" ht="15" x14ac:dyDescent="0.25">
      <c r="A37" s="157" t="s">
        <v>21</v>
      </c>
      <c r="B37" s="169"/>
      <c r="C37" s="134">
        <f>-C11+M14</f>
        <v>-40000</v>
      </c>
      <c r="D37" s="60">
        <f>D36+D30+D29</f>
        <v>3383.46</v>
      </c>
      <c r="E37" s="60">
        <f>E36+E30+E29</f>
        <v>3376.416791624999</v>
      </c>
      <c r="F37" s="60">
        <f t="shared" ref="F37:W37" si="44">F36+F30+F29</f>
        <v>3369.3040981114591</v>
      </c>
      <c r="G37" s="60">
        <f t="shared" si="44"/>
        <v>3500.3364664906685</v>
      </c>
      <c r="H37" s="60">
        <f t="shared" si="44"/>
        <v>3492.3466683023626</v>
      </c>
      <c r="I37" s="60">
        <f t="shared" si="44"/>
        <v>3484.2780150862454</v>
      </c>
      <c r="J37" s="60">
        <f t="shared" si="44"/>
        <v>3476.1297182659646</v>
      </c>
      <c r="K37" s="60">
        <f t="shared" si="44"/>
        <v>3467.9009813794055</v>
      </c>
      <c r="L37" s="60">
        <f t="shared" si="44"/>
        <v>3459.590999999833</v>
      </c>
      <c r="M37" s="60">
        <f t="shared" si="44"/>
        <v>3451.1989616562437</v>
      </c>
      <c r="N37" s="60">
        <f t="shared" si="44"/>
        <v>3442.7240457529274</v>
      </c>
      <c r="O37" s="60">
        <f t="shared" si="44"/>
        <v>3434.1654234882162</v>
      </c>
      <c r="P37" s="60">
        <f t="shared" si="44"/>
        <v>3425.5222577724253</v>
      </c>
      <c r="Q37" s="60">
        <f t="shared" si="44"/>
        <v>3416.793703144976</v>
      </c>
      <c r="R37" s="60">
        <f t="shared" si="44"/>
        <v>3407.978905690682</v>
      </c>
      <c r="S37" s="60">
        <f t="shared" si="44"/>
        <v>3399.0770029552077</v>
      </c>
      <c r="T37" s="60">
        <f t="shared" si="44"/>
        <v>3390.0871238596724</v>
      </c>
      <c r="U37" s="60">
        <f t="shared" si="44"/>
        <v>3381.0083886144107</v>
      </c>
      <c r="V37" s="60">
        <f t="shared" si="44"/>
        <v>3371.8399086318573</v>
      </c>
      <c r="W37" s="60">
        <f t="shared" si="44"/>
        <v>3362.580786438577</v>
      </c>
      <c r="AB37" s="113">
        <f t="shared" si="3"/>
        <v>760</v>
      </c>
      <c r="AF37" s="115"/>
    </row>
    <row r="38" spans="1:35" ht="15" x14ac:dyDescent="0.25">
      <c r="A38" s="170" t="s">
        <v>174</v>
      </c>
      <c r="B38" s="170"/>
      <c r="C38" s="136">
        <f>-M8-Q8</f>
        <v>-40400</v>
      </c>
      <c r="D38" s="60">
        <f>D36</f>
        <v>3383.46</v>
      </c>
      <c r="E38" s="60">
        <f t="shared" ref="E38:W38" si="45">E36</f>
        <v>3376.416791624999</v>
      </c>
      <c r="F38" s="60">
        <f t="shared" si="45"/>
        <v>3369.3040981114591</v>
      </c>
      <c r="G38" s="60">
        <f t="shared" si="45"/>
        <v>3500.3364664906685</v>
      </c>
      <c r="H38" s="60">
        <f t="shared" si="45"/>
        <v>3492.3466683023626</v>
      </c>
      <c r="I38" s="60">
        <f t="shared" si="45"/>
        <v>3484.2780150862454</v>
      </c>
      <c r="J38" s="60">
        <f t="shared" si="45"/>
        <v>3476.1297182659646</v>
      </c>
      <c r="K38" s="60">
        <f t="shared" si="45"/>
        <v>3467.9009813794055</v>
      </c>
      <c r="L38" s="60">
        <f t="shared" si="45"/>
        <v>3459.590999999833</v>
      </c>
      <c r="M38" s="60">
        <f t="shared" si="45"/>
        <v>3451.1989616562437</v>
      </c>
      <c r="N38" s="60">
        <f t="shared" si="45"/>
        <v>3442.7240457529274</v>
      </c>
      <c r="O38" s="60">
        <f t="shared" si="45"/>
        <v>3434.1654234882162</v>
      </c>
      <c r="P38" s="60">
        <f t="shared" si="45"/>
        <v>3425.5222577724253</v>
      </c>
      <c r="Q38" s="60">
        <f t="shared" si="45"/>
        <v>3416.793703144976</v>
      </c>
      <c r="R38" s="60">
        <f t="shared" si="45"/>
        <v>3407.978905690682</v>
      </c>
      <c r="S38" s="60">
        <f t="shared" si="45"/>
        <v>3399.0770029552077</v>
      </c>
      <c r="T38" s="60">
        <f t="shared" si="45"/>
        <v>3390.0871238596724</v>
      </c>
      <c r="U38" s="60">
        <f t="shared" si="45"/>
        <v>3381.0083886144107</v>
      </c>
      <c r="V38" s="60">
        <f t="shared" si="45"/>
        <v>3371.8399086318573</v>
      </c>
      <c r="W38" s="60">
        <f t="shared" si="45"/>
        <v>3362.580786438577</v>
      </c>
      <c r="AB38" s="113">
        <f t="shared" si="3"/>
        <v>770</v>
      </c>
      <c r="AF38" s="115"/>
    </row>
    <row r="39" spans="1:35" ht="16.899999999999999" customHeight="1" x14ac:dyDescent="0.25">
      <c r="A39" s="156" t="s">
        <v>15</v>
      </c>
      <c r="B39" s="157"/>
      <c r="C39" s="128"/>
      <c r="D39" s="60">
        <f t="shared" ref="D39:W39" si="46">D36*(1+taux_actu)^-(D20-1)</f>
        <v>3383.46</v>
      </c>
      <c r="E39" s="60">
        <f t="shared" si="46"/>
        <v>3278.0745549757271</v>
      </c>
      <c r="F39" s="60">
        <f t="shared" si="46"/>
        <v>3175.892259507455</v>
      </c>
      <c r="G39" s="60">
        <f t="shared" si="46"/>
        <v>3203.3037222386456</v>
      </c>
      <c r="H39" s="60">
        <f t="shared" si="46"/>
        <v>3102.9047816181578</v>
      </c>
      <c r="I39" s="60">
        <f t="shared" si="46"/>
        <v>3005.5688230500145</v>
      </c>
      <c r="J39" s="60">
        <f t="shared" si="46"/>
        <v>2911.2039132379323</v>
      </c>
      <c r="K39" s="60">
        <f t="shared" si="46"/>
        <v>2819.7208501388805</v>
      </c>
      <c r="L39" s="60">
        <f t="shared" si="46"/>
        <v>2731.0330823492513</v>
      </c>
      <c r="M39" s="60">
        <f t="shared" si="46"/>
        <v>2645.0566308602965</v>
      </c>
      <c r="N39" s="60">
        <f t="shared" si="46"/>
        <v>2561.710013113388</v>
      </c>
      <c r="O39" s="60">
        <f t="shared" si="46"/>
        <v>2480.9141692876865</v>
      </c>
      <c r="P39" s="60">
        <f t="shared" si="46"/>
        <v>2402.5923907547867</v>
      </c>
      <c r="Q39" s="60">
        <f t="shared" si="46"/>
        <v>2326.6702506368238</v>
      </c>
      <c r="R39" s="60">
        <f t="shared" si="46"/>
        <v>2253.075536406363</v>
      </c>
      <c r="S39" s="60">
        <f t="shared" si="46"/>
        <v>2181.7381844682282</v>
      </c>
      <c r="T39" s="60">
        <f t="shared" si="46"/>
        <v>2112.5902166651526</v>
      </c>
      <c r="U39" s="60">
        <f t="shared" si="46"/>
        <v>2045.5656786508478</v>
      </c>
      <c r="V39" s="60">
        <f t="shared" si="46"/>
        <v>1980.6005800757323</v>
      </c>
      <c r="W39" s="60">
        <f t="shared" si="46"/>
        <v>1917.632836532174</v>
      </c>
      <c r="AB39" s="113">
        <f t="shared" si="3"/>
        <v>780</v>
      </c>
      <c r="AF39" s="115"/>
    </row>
    <row r="40" spans="1:35" s="67" customFormat="1" ht="16.899999999999999" customHeight="1" x14ac:dyDescent="0.25">
      <c r="A40" s="158" t="s">
        <v>16</v>
      </c>
      <c r="B40" s="159"/>
      <c r="C40" s="137">
        <f>-C11+M14</f>
        <v>-40000</v>
      </c>
      <c r="D40" s="66">
        <f>D39+C40</f>
        <v>-36616.54</v>
      </c>
      <c r="E40" s="66">
        <f>D40+E39</f>
        <v>-33338.465445024274</v>
      </c>
      <c r="F40" s="66">
        <f t="shared" ref="F40:V40" si="47">E40+F39</f>
        <v>-30162.57318551682</v>
      </c>
      <c r="G40" s="66">
        <f t="shared" si="47"/>
        <v>-26959.269463278175</v>
      </c>
      <c r="H40" s="66">
        <f t="shared" si="47"/>
        <v>-23856.364681660016</v>
      </c>
      <c r="I40" s="66">
        <f t="shared" si="47"/>
        <v>-20850.795858609999</v>
      </c>
      <c r="J40" s="66">
        <f t="shared" si="47"/>
        <v>-17939.591945372067</v>
      </c>
      <c r="K40" s="66">
        <f t="shared" si="47"/>
        <v>-15119.871095233186</v>
      </c>
      <c r="L40" s="66">
        <f t="shared" si="47"/>
        <v>-12388.838012883934</v>
      </c>
      <c r="M40" s="66">
        <f t="shared" si="47"/>
        <v>-9743.781382023637</v>
      </c>
      <c r="N40" s="66">
        <f t="shared" si="47"/>
        <v>-7182.0713689102486</v>
      </c>
      <c r="O40" s="66">
        <f t="shared" si="47"/>
        <v>-4701.1571996225621</v>
      </c>
      <c r="P40" s="66">
        <f t="shared" si="47"/>
        <v>-2298.5648088677754</v>
      </c>
      <c r="Q40" s="66">
        <f t="shared" si="47"/>
        <v>28.105441769048412</v>
      </c>
      <c r="R40" s="66">
        <f t="shared" si="47"/>
        <v>2281.1809781754114</v>
      </c>
      <c r="S40" s="66">
        <f t="shared" si="47"/>
        <v>4462.9191626436395</v>
      </c>
      <c r="T40" s="66">
        <f t="shared" si="47"/>
        <v>6575.5093793087926</v>
      </c>
      <c r="U40" s="66">
        <f t="shared" si="47"/>
        <v>8621.0750579596406</v>
      </c>
      <c r="V40" s="66">
        <f t="shared" si="47"/>
        <v>10601.675638035373</v>
      </c>
      <c r="W40" s="66">
        <f>V40+W39</f>
        <v>12519.308474567546</v>
      </c>
      <c r="AA40" s="113"/>
      <c r="AB40" s="113">
        <f t="shared" si="3"/>
        <v>790</v>
      </c>
      <c r="AC40" s="113"/>
      <c r="AD40" s="113"/>
      <c r="AE40" s="113"/>
      <c r="AF40" s="115"/>
      <c r="AG40" s="113"/>
      <c r="AH40" s="113"/>
      <c r="AI40" s="113"/>
    </row>
    <row r="41" spans="1:35" ht="16.899999999999999" customHeight="1" x14ac:dyDescent="0.25">
      <c r="AB41" s="113">
        <f>AB40+10</f>
        <v>800</v>
      </c>
    </row>
    <row r="42" spans="1:35" ht="15" x14ac:dyDescent="0.25">
      <c r="A42" s="156" t="s">
        <v>33</v>
      </c>
      <c r="B42" s="157"/>
      <c r="C42" s="128"/>
      <c r="D42" s="60">
        <f t="shared" ref="D42:W42" si="48">IF(D20&lt;4,IF(D31&lt;0,0,$I$11*D31),$I$12*D31)</f>
        <v>0</v>
      </c>
      <c r="E42" s="60">
        <f t="shared" si="48"/>
        <v>0</v>
      </c>
      <c r="F42" s="60">
        <f t="shared" si="48"/>
        <v>0</v>
      </c>
      <c r="G42" s="60">
        <f t="shared" si="48"/>
        <v>921.43494604233319</v>
      </c>
      <c r="H42" s="60">
        <f t="shared" si="48"/>
        <v>916.52799388396079</v>
      </c>
      <c r="I42" s="60">
        <f t="shared" si="48"/>
        <v>911.57261273654569</v>
      </c>
      <c r="J42" s="60">
        <f t="shared" si="48"/>
        <v>906.56831829418365</v>
      </c>
      <c r="K42" s="60">
        <f t="shared" si="48"/>
        <v>901.5146214079125</v>
      </c>
      <c r="L42" s="60">
        <f t="shared" si="48"/>
        <v>896.41102803728029</v>
      </c>
      <c r="M42" s="60">
        <f t="shared" si="48"/>
        <v>891.25703920143133</v>
      </c>
      <c r="N42" s="60">
        <f t="shared" si="48"/>
        <v>886.05215092970172</v>
      </c>
      <c r="O42" s="60">
        <f t="shared" si="48"/>
        <v>880.79585421172169</v>
      </c>
      <c r="P42" s="60">
        <f t="shared" si="48"/>
        <v>875.48763494701666</v>
      </c>
      <c r="Q42" s="60">
        <f t="shared" si="48"/>
        <v>870.12697389411062</v>
      </c>
      <c r="R42" s="60">
        <f t="shared" si="48"/>
        <v>864.71334661911044</v>
      </c>
      <c r="S42" s="60">
        <f t="shared" si="48"/>
        <v>859.24622344378565</v>
      </c>
      <c r="T42" s="60">
        <f t="shared" si="48"/>
        <v>853.72506939312325</v>
      </c>
      <c r="U42" s="60">
        <f t="shared" si="48"/>
        <v>848.14934414236166</v>
      </c>
      <c r="V42" s="60">
        <f t="shared" si="48"/>
        <v>842.51850196349028</v>
      </c>
      <c r="W42" s="60">
        <f t="shared" si="48"/>
        <v>836.831991671222</v>
      </c>
      <c r="AB42" s="113">
        <f>AB41+8</f>
        <v>808</v>
      </c>
      <c r="AF42" s="115"/>
    </row>
    <row r="43" spans="1:35" ht="15" x14ac:dyDescent="0.25">
      <c r="A43" s="156" t="s">
        <v>48</v>
      </c>
      <c r="B43" s="157"/>
      <c r="C43" s="128"/>
      <c r="D43" s="60">
        <f t="shared" ref="D43:W43" si="49">IF(D20&lt;4,0,D34-D42)</f>
        <v>0</v>
      </c>
      <c r="E43" s="60">
        <f t="shared" si="49"/>
        <v>0</v>
      </c>
      <c r="F43" s="60">
        <f t="shared" si="49"/>
        <v>0</v>
      </c>
      <c r="G43" s="60">
        <f t="shared" si="49"/>
        <v>578.90152044833553</v>
      </c>
      <c r="H43" s="60">
        <f t="shared" si="49"/>
        <v>575.81867441840154</v>
      </c>
      <c r="I43" s="60">
        <f t="shared" si="49"/>
        <v>572.70540234969951</v>
      </c>
      <c r="J43" s="60">
        <f t="shared" si="49"/>
        <v>569.5613999717807</v>
      </c>
      <c r="K43" s="60">
        <f t="shared" si="49"/>
        <v>566.38635997149299</v>
      </c>
      <c r="L43" s="60">
        <f t="shared" si="49"/>
        <v>563.17997196255249</v>
      </c>
      <c r="M43" s="60">
        <f t="shared" si="49"/>
        <v>559.94192245481236</v>
      </c>
      <c r="N43" s="60">
        <f t="shared" si="49"/>
        <v>556.67189482322567</v>
      </c>
      <c r="O43" s="60">
        <f t="shared" si="49"/>
        <v>553.36956927649476</v>
      </c>
      <c r="P43" s="60">
        <f t="shared" si="49"/>
        <v>550.03462282540841</v>
      </c>
      <c r="Q43" s="60">
        <f t="shared" si="49"/>
        <v>546.66672925086539</v>
      </c>
      <c r="R43" s="60">
        <f t="shared" si="49"/>
        <v>543.2655590715716</v>
      </c>
      <c r="S43" s="60">
        <f t="shared" si="49"/>
        <v>539.83077951142184</v>
      </c>
      <c r="T43" s="60">
        <f t="shared" si="49"/>
        <v>536.36205446654913</v>
      </c>
      <c r="U43" s="60">
        <f t="shared" si="49"/>
        <v>532.85904447204905</v>
      </c>
      <c r="V43" s="60">
        <f t="shared" si="49"/>
        <v>529.32140666836699</v>
      </c>
      <c r="W43" s="60">
        <f t="shared" si="49"/>
        <v>525.74879476735475</v>
      </c>
      <c r="AB43" s="113">
        <f t="shared" si="3"/>
        <v>818</v>
      </c>
      <c r="AF43" s="115"/>
    </row>
    <row r="44" spans="1:35" ht="15" x14ac:dyDescent="0.25">
      <c r="A44" s="156" t="s">
        <v>49</v>
      </c>
      <c r="B44" s="157"/>
      <c r="C44" s="128"/>
      <c r="D44" s="60">
        <f>D43*(100%-$I$14)</f>
        <v>0</v>
      </c>
      <c r="E44" s="60">
        <f t="shared" ref="E44:W44" si="50">E43*(100%-$I$14)</f>
        <v>0</v>
      </c>
      <c r="F44" s="60">
        <f t="shared" si="50"/>
        <v>0</v>
      </c>
      <c r="G44" s="60">
        <f t="shared" si="50"/>
        <v>479.33045893122187</v>
      </c>
      <c r="H44" s="60">
        <f t="shared" si="50"/>
        <v>476.77786241843654</v>
      </c>
      <c r="I44" s="60">
        <f t="shared" si="50"/>
        <v>474.20007314555124</v>
      </c>
      <c r="J44" s="60">
        <f t="shared" si="50"/>
        <v>471.59683917663443</v>
      </c>
      <c r="K44" s="60">
        <f t="shared" si="50"/>
        <v>468.96790605639626</v>
      </c>
      <c r="L44" s="60">
        <f t="shared" si="50"/>
        <v>466.31301678499352</v>
      </c>
      <c r="M44" s="60">
        <f t="shared" si="50"/>
        <v>463.63191179258467</v>
      </c>
      <c r="N44" s="60">
        <f t="shared" si="50"/>
        <v>460.92432891363092</v>
      </c>
      <c r="O44" s="60">
        <f t="shared" si="50"/>
        <v>458.19000336093768</v>
      </c>
      <c r="P44" s="60">
        <f t="shared" si="50"/>
        <v>455.42866769943822</v>
      </c>
      <c r="Q44" s="60">
        <f t="shared" si="50"/>
        <v>452.64005181971658</v>
      </c>
      <c r="R44" s="60">
        <f t="shared" si="50"/>
        <v>449.82388291126131</v>
      </c>
      <c r="S44" s="60">
        <f t="shared" si="50"/>
        <v>446.97988543545733</v>
      </c>
      <c r="T44" s="60">
        <f t="shared" si="50"/>
        <v>444.10778109830272</v>
      </c>
      <c r="U44" s="60">
        <f t="shared" si="50"/>
        <v>441.20728882285664</v>
      </c>
      <c r="V44" s="60">
        <f t="shared" si="50"/>
        <v>438.27812472140789</v>
      </c>
      <c r="W44" s="60">
        <f t="shared" si="50"/>
        <v>435.32000206736978</v>
      </c>
      <c r="AB44" s="113">
        <f t="shared" si="3"/>
        <v>828</v>
      </c>
      <c r="AF44" s="115"/>
    </row>
    <row r="45" spans="1:35" s="67" customFormat="1" ht="16.899999999999999" customHeight="1" x14ac:dyDescent="0.25">
      <c r="A45" s="158" t="s">
        <v>22</v>
      </c>
      <c r="B45" s="159"/>
      <c r="C45" s="130"/>
      <c r="D45" s="185">
        <f>(D44/$M$9)/$M$10</f>
        <v>0</v>
      </c>
      <c r="E45" s="185">
        <f t="shared" ref="E45:W45" si="51">(E44/$M$9)/$M$10</f>
        <v>0</v>
      </c>
      <c r="F45" s="185">
        <f t="shared" si="51"/>
        <v>0</v>
      </c>
      <c r="G45" s="185">
        <f t="shared" si="51"/>
        <v>1.1864615320079749E-2</v>
      </c>
      <c r="H45" s="185">
        <f t="shared" si="51"/>
        <v>1.1801432238080112E-2</v>
      </c>
      <c r="I45" s="185">
        <f t="shared" si="51"/>
        <v>1.1737625572909685E-2</v>
      </c>
      <c r="J45" s="185">
        <f t="shared" si="51"/>
        <v>1.1673189088530555E-2</v>
      </c>
      <c r="K45" s="185">
        <f t="shared" si="51"/>
        <v>1.1608116486544463E-2</v>
      </c>
      <c r="L45" s="185">
        <f t="shared" si="51"/>
        <v>1.1542401405569147E-2</v>
      </c>
      <c r="M45" s="185">
        <f t="shared" si="51"/>
        <v>1.1476037420608532E-2</v>
      </c>
      <c r="N45" s="185">
        <f t="shared" si="51"/>
        <v>1.1409018042416608E-2</v>
      </c>
      <c r="O45" s="185">
        <f t="shared" si="51"/>
        <v>1.1341336716854894E-2</v>
      </c>
      <c r="P45" s="185">
        <f t="shared" si="51"/>
        <v>1.1272986824243521E-2</v>
      </c>
      <c r="Q45" s="185">
        <f t="shared" si="51"/>
        <v>1.1203961678705856E-2</v>
      </c>
      <c r="R45" s="185">
        <f t="shared" si="51"/>
        <v>1.1134254527506469E-2</v>
      </c>
      <c r="S45" s="185">
        <f t="shared" si="51"/>
        <v>1.1063858550382609E-2</v>
      </c>
      <c r="T45" s="185">
        <f t="shared" si="51"/>
        <v>1.0992766858868878E-2</v>
      </c>
      <c r="U45" s="185">
        <f t="shared" si="51"/>
        <v>1.0920972495615265E-2</v>
      </c>
      <c r="V45" s="185">
        <f t="shared" si="51"/>
        <v>1.0848468433698214E-2</v>
      </c>
      <c r="W45" s="185">
        <f t="shared" si="51"/>
        <v>1.0775247575924995E-2</v>
      </c>
      <c r="AA45" s="113"/>
      <c r="AB45" s="113">
        <f t="shared" si="3"/>
        <v>838</v>
      </c>
      <c r="AC45" s="113"/>
      <c r="AD45" s="113"/>
      <c r="AE45" s="113"/>
      <c r="AF45" s="115"/>
      <c r="AG45" s="113"/>
      <c r="AH45" s="113"/>
      <c r="AI45" s="113"/>
    </row>
    <row r="46" spans="1:35" ht="16.899999999999999" customHeight="1" x14ac:dyDescent="0.25">
      <c r="AB46" s="113">
        <f t="shared" si="3"/>
        <v>848</v>
      </c>
    </row>
    <row r="47" spans="1:35" ht="16.899999999999999" customHeight="1" x14ac:dyDescent="0.25">
      <c r="A47" s="167" t="s">
        <v>35</v>
      </c>
      <c r="B47" s="168"/>
      <c r="C47" s="131"/>
      <c r="D47" s="71" t="str">
        <f t="shared" ref="D47:W47" si="52">IF(D20&lt;=$M$13,D25/-PMT($M$12,$M$13,$M$11),"")</f>
        <v/>
      </c>
      <c r="E47" s="71" t="str">
        <f t="shared" si="52"/>
        <v/>
      </c>
      <c r="F47" s="71" t="str">
        <f t="shared" si="52"/>
        <v/>
      </c>
      <c r="G47" s="71" t="str">
        <f t="shared" si="52"/>
        <v/>
      </c>
      <c r="H47" s="71" t="str">
        <f t="shared" si="52"/>
        <v/>
      </c>
      <c r="I47" s="71" t="str">
        <f t="shared" si="52"/>
        <v/>
      </c>
      <c r="J47" s="71" t="str">
        <f t="shared" si="52"/>
        <v/>
      </c>
      <c r="K47" s="71" t="str">
        <f t="shared" si="52"/>
        <v/>
      </c>
      <c r="L47" s="71" t="str">
        <f t="shared" si="52"/>
        <v/>
      </c>
      <c r="M47" s="71" t="str">
        <f t="shared" si="52"/>
        <v/>
      </c>
      <c r="N47" s="71" t="str">
        <f t="shared" si="52"/>
        <v/>
      </c>
      <c r="O47" s="71" t="str">
        <f t="shared" si="52"/>
        <v/>
      </c>
      <c r="P47" s="71" t="str">
        <f t="shared" si="52"/>
        <v/>
      </c>
      <c r="Q47" s="71" t="str">
        <f t="shared" si="52"/>
        <v/>
      </c>
      <c r="R47" s="71" t="str">
        <f t="shared" si="52"/>
        <v/>
      </c>
      <c r="S47" s="71" t="str">
        <f t="shared" si="52"/>
        <v/>
      </c>
      <c r="T47" s="71" t="str">
        <f t="shared" si="52"/>
        <v/>
      </c>
      <c r="U47" s="71" t="str">
        <f t="shared" si="52"/>
        <v/>
      </c>
      <c r="V47" s="71" t="str">
        <f t="shared" si="52"/>
        <v/>
      </c>
      <c r="W47" s="71" t="str">
        <f t="shared" si="52"/>
        <v/>
      </c>
      <c r="X47" s="72"/>
      <c r="AB47" s="113">
        <f t="shared" si="3"/>
        <v>858</v>
      </c>
    </row>
    <row r="48" spans="1:35" ht="16.899999999999999" customHeight="1" x14ac:dyDescent="0.25">
      <c r="AB48" s="113">
        <f t="shared" ref="AB48:AB61" si="53">AB47+10</f>
        <v>868</v>
      </c>
    </row>
    <row r="49" spans="1:35" ht="16.899999999999999" customHeight="1" x14ac:dyDescent="0.25">
      <c r="A49" s="165" t="s">
        <v>17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AB49" s="113">
        <f t="shared" si="53"/>
        <v>878</v>
      </c>
    </row>
    <row r="50" spans="1:35" ht="16.899999999999999" customHeight="1" x14ac:dyDescent="0.25">
      <c r="AB50" s="113">
        <f t="shared" si="53"/>
        <v>888</v>
      </c>
    </row>
    <row r="51" spans="1:35" ht="16.899999999999999" customHeight="1" x14ac:dyDescent="0.25">
      <c r="A51" s="166" t="s">
        <v>18</v>
      </c>
      <c r="B51" s="166"/>
      <c r="C51" s="60">
        <f>W40</f>
        <v>12519.308474567546</v>
      </c>
      <c r="D51" s="89" t="str">
        <f>IF(C51&gt;0,"OK","PB")</f>
        <v>OK</v>
      </c>
      <c r="F51" s="73"/>
      <c r="AB51" s="113">
        <f t="shared" si="53"/>
        <v>898</v>
      </c>
    </row>
    <row r="52" spans="1:35" ht="16.899999999999999" customHeight="1" x14ac:dyDescent="0.25">
      <c r="A52" s="166" t="s">
        <v>40</v>
      </c>
      <c r="B52" s="166"/>
      <c r="C52" s="60">
        <f>SUM(D42:W42)</f>
        <v>14962.93365081929</v>
      </c>
      <c r="AB52" s="113">
        <f t="shared" si="53"/>
        <v>908</v>
      </c>
    </row>
    <row r="53" spans="1:35" ht="15" x14ac:dyDescent="0.25">
      <c r="A53" s="166" t="s">
        <v>19</v>
      </c>
      <c r="B53" s="166"/>
      <c r="C53" s="74">
        <f>IRR(C37:W37)</f>
        <v>5.7928118689082098E-2</v>
      </c>
      <c r="D53" s="135" t="str">
        <f>IF(C53&gt;M12,"OK","PB")</f>
        <v>OK</v>
      </c>
      <c r="AB53" s="113">
        <f t="shared" si="53"/>
        <v>918</v>
      </c>
    </row>
    <row r="54" spans="1:35" ht="29.45" customHeight="1" x14ac:dyDescent="0.25">
      <c r="A54" s="166" t="s">
        <v>20</v>
      </c>
      <c r="B54" s="166"/>
      <c r="C54" s="75">
        <f>AVERAGE(D34:W34)/M8</f>
        <v>3.5263292385230356E-2</v>
      </c>
      <c r="AB54" s="113">
        <f t="shared" si="53"/>
        <v>928</v>
      </c>
    </row>
    <row r="55" spans="1:35" ht="26.45" customHeight="1" x14ac:dyDescent="0.25">
      <c r="A55" s="166" t="s">
        <v>41</v>
      </c>
      <c r="B55" s="166"/>
      <c r="C55" s="75">
        <f>AVERAGE(D45:W45)</f>
        <v>9.6333144618269764E-3</v>
      </c>
      <c r="AB55" s="113">
        <f t="shared" si="53"/>
        <v>938</v>
      </c>
    </row>
    <row r="56" spans="1:35" ht="16.899999999999999" customHeight="1" x14ac:dyDescent="0.25">
      <c r="AB56" s="113">
        <f t="shared" si="53"/>
        <v>948</v>
      </c>
    </row>
    <row r="57" spans="1:35" ht="16.899999999999999" customHeight="1" x14ac:dyDescent="0.25">
      <c r="A57" s="76" t="s">
        <v>104</v>
      </c>
      <c r="B57" s="90">
        <f>C11/(C9*1000)</f>
        <v>1.1111111111111112</v>
      </c>
      <c r="AB57" s="113">
        <f t="shared" si="53"/>
        <v>958</v>
      </c>
    </row>
    <row r="58" spans="1:35" ht="16.899999999999999" customHeight="1" x14ac:dyDescent="0.25">
      <c r="D58" s="77"/>
      <c r="AB58" s="113">
        <f t="shared" si="53"/>
        <v>968</v>
      </c>
    </row>
    <row r="59" spans="1:35" s="78" customFormat="1" ht="16.899999999999999" customHeight="1" x14ac:dyDescent="0.25">
      <c r="AA59" s="120"/>
      <c r="AB59" s="113">
        <f t="shared" si="53"/>
        <v>978</v>
      </c>
      <c r="AC59" s="120"/>
      <c r="AD59" s="120"/>
      <c r="AE59" s="120"/>
      <c r="AF59" s="120"/>
      <c r="AG59" s="120"/>
      <c r="AH59" s="120"/>
      <c r="AI59" s="120"/>
    </row>
    <row r="60" spans="1:35" ht="16.899999999999999" customHeight="1" x14ac:dyDescent="0.25">
      <c r="AB60" s="113">
        <f t="shared" si="53"/>
        <v>988</v>
      </c>
    </row>
    <row r="61" spans="1:35" ht="16.899999999999999" customHeight="1" x14ac:dyDescent="0.25">
      <c r="AB61" s="113">
        <f t="shared" si="53"/>
        <v>998</v>
      </c>
    </row>
    <row r="62" spans="1:35" ht="16.899999999999999" customHeight="1" x14ac:dyDescent="0.25">
      <c r="AB62" s="41"/>
    </row>
  </sheetData>
  <mergeCells count="75"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N49:O49"/>
    <mergeCell ref="P49:Q49"/>
    <mergeCell ref="R49:S49"/>
    <mergeCell ref="T49:U49"/>
    <mergeCell ref="V49:W49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A26:B26"/>
    <mergeCell ref="A31:B31"/>
    <mergeCell ref="A24:B24"/>
    <mergeCell ref="A21:B21"/>
    <mergeCell ref="A22:B22"/>
    <mergeCell ref="A23:B23"/>
  </mergeCells>
  <conditionalFormatting sqref="C51:C52">
    <cfRule type="cellIs" dxfId="11" priority="9" operator="lessThan">
      <formula>0</formula>
    </cfRule>
  </conditionalFormatting>
  <conditionalFormatting sqref="D51">
    <cfRule type="containsText" dxfId="10" priority="3" operator="containsText" text="PB">
      <formula>NOT(ISERROR(SEARCH("PB",D51)))</formula>
    </cfRule>
    <cfRule type="containsText" dxfId="9" priority="4" operator="containsText" text="OK">
      <formula>NOT(ISERROR(SEARCH("OK",D51)))</formula>
    </cfRule>
  </conditionalFormatting>
  <conditionalFormatting sqref="D53">
    <cfRule type="cellIs" dxfId="8" priority="1" operator="equal">
      <formula>"PB"</formula>
    </cfRule>
    <cfRule type="cellIs" dxfId="7" priority="2" operator="equal">
      <formula>"OK"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$AB$2:$AB$61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G5" sqref="G5"/>
    </sheetView>
  </sheetViews>
  <sheetFormatPr baseColWidth="10" defaultColWidth="11.5703125" defaultRowHeight="15" x14ac:dyDescent="0.25"/>
  <cols>
    <col min="1" max="1" width="8.85546875" style="19" customWidth="1"/>
    <col min="2" max="2" width="22" style="12" customWidth="1"/>
    <col min="3" max="3" width="9.85546875" style="10" customWidth="1"/>
    <col min="4" max="5" width="12.7109375" style="10" customWidth="1"/>
    <col min="6" max="6" width="10.7109375" style="10" customWidth="1"/>
    <col min="7" max="7" width="15.28515625" style="10" customWidth="1"/>
    <col min="8" max="8" width="16.7109375" style="10" customWidth="1"/>
    <col min="9" max="9" width="3.85546875" style="12" customWidth="1"/>
    <col min="10" max="11" width="83.85546875" style="10" customWidth="1"/>
    <col min="12" max="12" width="11.5703125" style="12"/>
    <col min="13" max="13" width="13.28515625" style="12" customWidth="1"/>
    <col min="14" max="21" width="11.5703125" style="12"/>
    <col min="22" max="22" width="14.7109375" style="12" customWidth="1"/>
    <col min="23" max="16384" width="11.5703125" style="12"/>
  </cols>
  <sheetData>
    <row r="1" spans="1:27" ht="27" thickBot="1" x14ac:dyDescent="0.45">
      <c r="A1" s="177" t="s">
        <v>66</v>
      </c>
      <c r="B1" s="178"/>
      <c r="C1" s="178"/>
      <c r="D1" s="178"/>
      <c r="E1" s="178"/>
      <c r="F1" s="178"/>
      <c r="G1" s="178"/>
      <c r="H1" s="178"/>
      <c r="I1" s="103"/>
    </row>
    <row r="2" spans="1:27" x14ac:dyDescent="0.25">
      <c r="A2" s="122" t="s">
        <v>169</v>
      </c>
    </row>
    <row r="3" spans="1:27" s="101" customFormat="1" ht="33.75" x14ac:dyDescent="0.25">
      <c r="A3" s="121"/>
      <c r="B3" s="100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6" t="s">
        <v>150</v>
      </c>
      <c r="K3" s="105"/>
      <c r="L3" s="102"/>
      <c r="M3" s="12" t="s">
        <v>165</v>
      </c>
      <c r="N3" s="153" t="s">
        <v>185</v>
      </c>
    </row>
    <row r="4" spans="1:27" ht="15.75" x14ac:dyDescent="0.25">
      <c r="A4" s="12" t="s">
        <v>165</v>
      </c>
      <c r="B4" s="32" t="s">
        <v>69</v>
      </c>
      <c r="C4" s="34">
        <v>200</v>
      </c>
      <c r="D4" s="34">
        <v>36</v>
      </c>
      <c r="E4" s="34">
        <v>44900</v>
      </c>
      <c r="F4" s="17">
        <f>E4/D4</f>
        <v>1247.2222222222222</v>
      </c>
      <c r="G4" s="35">
        <v>10</v>
      </c>
      <c r="H4" s="27">
        <f>G4*E4/100</f>
        <v>4490</v>
      </c>
      <c r="J4" s="108" t="s">
        <v>154</v>
      </c>
      <c r="K4" s="123"/>
      <c r="M4" s="12" t="s">
        <v>164</v>
      </c>
      <c r="N4" s="152">
        <f t="shared" ref="N4:N38" si="0">IF(A4="oui",1,0)</f>
        <v>1</v>
      </c>
    </row>
    <row r="5" spans="1:27" ht="15.75" x14ac:dyDescent="0.25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7"/>
      <c r="K5" s="11"/>
      <c r="N5" s="152">
        <f t="shared" si="0"/>
        <v>1</v>
      </c>
    </row>
    <row r="6" spans="1:27" ht="15.75" x14ac:dyDescent="0.25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179" t="s">
        <v>166</v>
      </c>
      <c r="K6" s="124"/>
      <c r="N6" s="152">
        <f t="shared" si="0"/>
        <v>1</v>
      </c>
    </row>
    <row r="7" spans="1:27" ht="15.75" x14ac:dyDescent="0.25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179"/>
      <c r="K7" s="124"/>
      <c r="N7" s="152">
        <f t="shared" si="0"/>
        <v>1</v>
      </c>
    </row>
    <row r="8" spans="1:27" ht="15.75" x14ac:dyDescent="0.25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8" t="s">
        <v>172</v>
      </c>
      <c r="K8" s="123"/>
      <c r="N8" s="152">
        <f t="shared" si="0"/>
        <v>1</v>
      </c>
    </row>
    <row r="9" spans="1:27" ht="15.75" x14ac:dyDescent="0.25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8" t="s">
        <v>153</v>
      </c>
      <c r="K9" s="11"/>
      <c r="N9" s="152">
        <f t="shared" si="0"/>
        <v>1</v>
      </c>
    </row>
    <row r="10" spans="1:27" ht="15.75" x14ac:dyDescent="0.25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180" t="s">
        <v>152</v>
      </c>
      <c r="K10" s="125"/>
      <c r="N10" s="152">
        <f t="shared" si="0"/>
        <v>1</v>
      </c>
    </row>
    <row r="11" spans="1:27" ht="15.75" x14ac:dyDescent="0.25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181"/>
      <c r="K11" s="125"/>
      <c r="N11" s="152">
        <f t="shared" si="0"/>
        <v>1</v>
      </c>
    </row>
    <row r="12" spans="1:27" ht="15.75" x14ac:dyDescent="0.25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3"/>
      <c r="N12" s="152">
        <f t="shared" si="0"/>
        <v>1</v>
      </c>
    </row>
    <row r="13" spans="1:27" ht="15.75" x14ac:dyDescent="0.25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6"/>
      <c r="N13" s="152">
        <f t="shared" si="0"/>
        <v>1</v>
      </c>
    </row>
    <row r="14" spans="1:27" ht="15.75" x14ac:dyDescent="0.25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6"/>
      <c r="N14" s="152">
        <f t="shared" si="0"/>
        <v>1</v>
      </c>
    </row>
    <row r="15" spans="1:27" ht="15.75" x14ac:dyDescent="0.25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52">
        <f t="shared" si="0"/>
        <v>1</v>
      </c>
    </row>
    <row r="16" spans="1:27" ht="15.75" x14ac:dyDescent="0.25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52">
        <f t="shared" si="0"/>
        <v>1</v>
      </c>
      <c r="T16"/>
      <c r="U16"/>
      <c r="V16"/>
      <c r="W16"/>
      <c r="X16"/>
      <c r="Y16"/>
      <c r="Z16"/>
      <c r="AA16"/>
    </row>
    <row r="17" spans="1:27" ht="15.75" x14ac:dyDescent="0.25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52">
        <f t="shared" si="0"/>
        <v>1</v>
      </c>
      <c r="T17"/>
      <c r="U17"/>
      <c r="V17"/>
      <c r="W17"/>
      <c r="X17"/>
      <c r="Y17"/>
      <c r="Z17"/>
      <c r="AA17"/>
    </row>
    <row r="18" spans="1:27" ht="15.75" x14ac:dyDescent="0.25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52">
        <f t="shared" si="0"/>
        <v>1</v>
      </c>
      <c r="T18"/>
      <c r="U18"/>
      <c r="V18"/>
      <c r="W18"/>
      <c r="X18"/>
      <c r="Y18"/>
      <c r="Z18"/>
      <c r="AA18"/>
    </row>
    <row r="19" spans="1:27" ht="15.75" x14ac:dyDescent="0.25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52">
        <f t="shared" si="0"/>
        <v>1</v>
      </c>
      <c r="T19"/>
      <c r="U19"/>
      <c r="V19"/>
      <c r="W19"/>
      <c r="X19"/>
      <c r="Y19"/>
      <c r="Z19"/>
      <c r="AA19"/>
    </row>
    <row r="20" spans="1:27" ht="15.75" x14ac:dyDescent="0.25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52">
        <f t="shared" si="0"/>
        <v>1</v>
      </c>
      <c r="T20"/>
      <c r="U20"/>
      <c r="V20"/>
      <c r="W20"/>
      <c r="X20"/>
      <c r="Y20"/>
      <c r="Z20"/>
      <c r="AA20"/>
    </row>
    <row r="21" spans="1:27" ht="15.75" x14ac:dyDescent="0.25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52">
        <f t="shared" si="0"/>
        <v>1</v>
      </c>
      <c r="T21"/>
      <c r="U21"/>
      <c r="V21"/>
      <c r="W21"/>
      <c r="X21"/>
      <c r="Y21"/>
      <c r="Z21"/>
      <c r="AA21"/>
    </row>
    <row r="22" spans="1:27" ht="15.75" x14ac:dyDescent="0.25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52">
        <f t="shared" si="0"/>
        <v>1</v>
      </c>
    </row>
    <row r="23" spans="1:27" ht="15.75" x14ac:dyDescent="0.25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52">
        <f t="shared" si="0"/>
        <v>1</v>
      </c>
    </row>
    <row r="24" spans="1:27" ht="15.75" x14ac:dyDescent="0.25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52">
        <f t="shared" si="0"/>
        <v>1</v>
      </c>
    </row>
    <row r="25" spans="1:27" ht="15.75" x14ac:dyDescent="0.25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52">
        <f t="shared" si="0"/>
        <v>1</v>
      </c>
    </row>
    <row r="26" spans="1:27" ht="15.75" x14ac:dyDescent="0.25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52">
        <f t="shared" si="0"/>
        <v>1</v>
      </c>
    </row>
    <row r="27" spans="1:27" ht="15.75" x14ac:dyDescent="0.25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52">
        <f t="shared" si="0"/>
        <v>1</v>
      </c>
    </row>
    <row r="28" spans="1:27" ht="15.75" x14ac:dyDescent="0.25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52">
        <f t="shared" si="0"/>
        <v>1</v>
      </c>
    </row>
    <row r="29" spans="1:27" ht="15.75" x14ac:dyDescent="0.25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52">
        <f t="shared" si="0"/>
        <v>1</v>
      </c>
    </row>
    <row r="30" spans="1:27" ht="15.75" x14ac:dyDescent="0.25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52">
        <f t="shared" si="0"/>
        <v>1</v>
      </c>
    </row>
    <row r="31" spans="1:27" ht="15.75" x14ac:dyDescent="0.25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52">
        <f t="shared" si="0"/>
        <v>1</v>
      </c>
    </row>
    <row r="32" spans="1:27" ht="15.75" x14ac:dyDescent="0.25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52">
        <f t="shared" si="0"/>
        <v>1</v>
      </c>
    </row>
    <row r="33" spans="1:14" ht="15.75" x14ac:dyDescent="0.25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52">
        <f t="shared" si="0"/>
        <v>1</v>
      </c>
    </row>
    <row r="34" spans="1:14" ht="15.75" x14ac:dyDescent="0.25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52">
        <f t="shared" si="0"/>
        <v>1</v>
      </c>
    </row>
    <row r="35" spans="1:14" ht="15.75" x14ac:dyDescent="0.25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52">
        <f t="shared" si="0"/>
        <v>1</v>
      </c>
    </row>
    <row r="36" spans="1:14" ht="15.75" x14ac:dyDescent="0.25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52">
        <f t="shared" si="0"/>
        <v>1</v>
      </c>
    </row>
    <row r="37" spans="1:14" ht="15.75" x14ac:dyDescent="0.25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52">
        <f t="shared" si="0"/>
        <v>1</v>
      </c>
    </row>
    <row r="38" spans="1:14" ht="15.75" x14ac:dyDescent="0.25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52">
        <f t="shared" si="0"/>
        <v>1</v>
      </c>
    </row>
    <row r="39" spans="1:14" ht="18.75" x14ac:dyDescent="0.3">
      <c r="A39" s="140"/>
      <c r="B39" s="141"/>
      <c r="C39" s="138">
        <f>SUMPRODUCT(C4:C38,$N$4:$N$38)</f>
        <v>200</v>
      </c>
      <c r="D39" s="138">
        <f t="shared" ref="D39:E39" si="8">SUMPRODUCT(D4:D38,$N$4:$N$38)</f>
        <v>36</v>
      </c>
      <c r="E39" s="138">
        <f t="shared" si="8"/>
        <v>44900</v>
      </c>
      <c r="G39" s="139"/>
      <c r="H39" s="138">
        <f>SUMPRODUCT(H4:H38,$N$4:$N$38)</f>
        <v>4490</v>
      </c>
      <c r="N39" s="101"/>
    </row>
    <row r="40" spans="1:14" customFormat="1" ht="6.75" customHeight="1" x14ac:dyDescent="0.25">
      <c r="F40" s="10"/>
      <c r="K40" s="12"/>
    </row>
    <row r="41" spans="1:14" x14ac:dyDescent="0.25">
      <c r="B41"/>
      <c r="N41" s="101"/>
    </row>
    <row r="42" spans="1:14" x14ac:dyDescent="0.25">
      <c r="B42"/>
      <c r="C42" s="2"/>
      <c r="D42" s="12"/>
      <c r="E42" s="12"/>
      <c r="F42" s="12"/>
      <c r="G42" s="12"/>
      <c r="H42" s="12"/>
      <c r="N42" s="101"/>
    </row>
    <row r="43" spans="1:14" x14ac:dyDescent="0.25">
      <c r="B43"/>
      <c r="D43" s="12"/>
      <c r="E43" s="12"/>
      <c r="F43" s="12"/>
      <c r="G43" s="12"/>
      <c r="H43" s="12"/>
      <c r="N43" s="101"/>
    </row>
    <row r="44" spans="1:14" x14ac:dyDescent="0.25">
      <c r="N44" s="101"/>
    </row>
    <row r="45" spans="1:14" x14ac:dyDescent="0.25">
      <c r="N45" s="101"/>
    </row>
    <row r="50" spans="1:11" x14ac:dyDescent="0.25">
      <c r="E50" s="12"/>
      <c r="F50" s="12"/>
    </row>
    <row r="52" spans="1:11" x14ac:dyDescent="0.25">
      <c r="A52" s="20"/>
      <c r="B52" s="21"/>
    </row>
    <row r="53" spans="1:11" s="22" customFormat="1" x14ac:dyDescent="0.25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6" priority="2" operator="equal">
      <formula>"Oui"</formula>
    </cfRule>
  </conditionalFormatting>
  <conditionalFormatting sqref="A4:A38">
    <cfRule type="cellIs" dxfId="5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topLeftCell="A10" zoomScale="70" zoomScaleNormal="70" workbookViewId="0">
      <selection activeCell="F46" sqref="F46"/>
    </sheetView>
  </sheetViews>
  <sheetFormatPr baseColWidth="10" defaultColWidth="11.5703125" defaultRowHeight="15" x14ac:dyDescent="0.25"/>
  <cols>
    <col min="1" max="1" width="7.7109375" style="12" customWidth="1"/>
    <col min="2" max="2" width="24.28515625" style="12" customWidth="1"/>
    <col min="3" max="3" width="10.5703125" style="12" customWidth="1"/>
    <col min="4" max="4" width="17.42578125" style="12" customWidth="1"/>
    <col min="5" max="5" width="16.42578125" style="12" customWidth="1"/>
    <col min="6" max="6" width="12.28515625" style="12" customWidth="1"/>
    <col min="7" max="7" width="11.85546875" style="12" customWidth="1"/>
    <col min="8" max="8" width="14.140625" style="12" customWidth="1"/>
    <col min="9" max="9" width="21.140625" style="12" customWidth="1"/>
    <col min="10" max="10" width="22" style="12" customWidth="1"/>
    <col min="11" max="11" width="15.28515625" style="12" customWidth="1"/>
    <col min="12" max="12" width="16.7109375" style="12" customWidth="1"/>
    <col min="13" max="13" width="15.85546875" style="12" customWidth="1"/>
    <col min="14" max="14" width="2" style="12" customWidth="1"/>
    <col min="15" max="15" width="28.140625" style="12" customWidth="1"/>
    <col min="16" max="16" width="119.42578125" style="12" customWidth="1"/>
    <col min="17" max="17" width="3.85546875" customWidth="1"/>
    <col min="18" max="18" width="13.140625" customWidth="1"/>
    <col min="19" max="23" width="17.42578125" style="12" customWidth="1"/>
    <col min="24" max="16384" width="11.5703125" style="12"/>
  </cols>
  <sheetData>
    <row r="1" spans="1:29" ht="26.25" x14ac:dyDescent="0.4">
      <c r="B1" s="182" t="s">
        <v>102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P1" s="109"/>
    </row>
    <row r="3" spans="1:29" s="18" customFormat="1" ht="32.25" customHeight="1" x14ac:dyDescent="0.25">
      <c r="A3" s="12"/>
      <c r="C3" s="142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3" t="s">
        <v>176</v>
      </c>
      <c r="P3" s="147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75" x14ac:dyDescent="0.25">
      <c r="A4" s="12" t="str">
        <f>ENCAISSEMENTS!A4</f>
        <v>oui</v>
      </c>
      <c r="B4" s="1" t="str">
        <f>ENCAISSEMENTS!B4</f>
        <v>INSTALL 1</v>
      </c>
      <c r="C4" s="36">
        <v>40000</v>
      </c>
      <c r="D4" s="37"/>
      <c r="E4" s="34"/>
      <c r="F4" s="34"/>
      <c r="G4" s="34"/>
      <c r="H4" s="34"/>
      <c r="I4" s="34"/>
      <c r="J4" s="34"/>
      <c r="K4" s="34"/>
      <c r="L4" s="34"/>
      <c r="M4" s="28">
        <f>SUM(C4:L4)</f>
        <v>40000</v>
      </c>
      <c r="N4" s="26"/>
      <c r="O4" s="94" t="s">
        <v>101</v>
      </c>
      <c r="P4" s="91" t="s">
        <v>177</v>
      </c>
    </row>
    <row r="5" spans="1:29" x14ac:dyDescent="0.25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95"/>
      <c r="P5" s="92" t="s">
        <v>179</v>
      </c>
    </row>
    <row r="6" spans="1:29" ht="15.75" x14ac:dyDescent="0.25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4" t="s">
        <v>53</v>
      </c>
      <c r="P6" s="91" t="s">
        <v>178</v>
      </c>
    </row>
    <row r="7" spans="1:29" ht="14.45" customHeight="1" x14ac:dyDescent="0.25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5"/>
      <c r="P7" s="92" t="s">
        <v>107</v>
      </c>
    </row>
    <row r="8" spans="1:29" ht="15" customHeight="1" x14ac:dyDescent="0.25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4" t="s">
        <v>54</v>
      </c>
      <c r="P8" s="91" t="s">
        <v>108</v>
      </c>
      <c r="Q8" s="12"/>
      <c r="R8" s="12"/>
    </row>
    <row r="9" spans="1:29" x14ac:dyDescent="0.25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5"/>
      <c r="P9" s="92" t="s">
        <v>109</v>
      </c>
      <c r="Q9" s="12"/>
      <c r="R9" s="12"/>
    </row>
    <row r="10" spans="1:29" ht="15.75" x14ac:dyDescent="0.25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4" t="s">
        <v>55</v>
      </c>
      <c r="P10" s="91" t="s">
        <v>180</v>
      </c>
      <c r="Q10" s="12"/>
      <c r="R10" s="12"/>
    </row>
    <row r="11" spans="1:29" x14ac:dyDescent="0.25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5"/>
      <c r="P11" s="92" t="s">
        <v>110</v>
      </c>
      <c r="Q11" s="12"/>
      <c r="R11" s="12"/>
    </row>
    <row r="12" spans="1:29" ht="15.75" x14ac:dyDescent="0.25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4" t="s">
        <v>56</v>
      </c>
      <c r="P12" s="91" t="s">
        <v>111</v>
      </c>
      <c r="Q12" s="12"/>
      <c r="R12" s="12"/>
    </row>
    <row r="13" spans="1:29" x14ac:dyDescent="0.25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5"/>
      <c r="P13" s="92" t="s">
        <v>112</v>
      </c>
      <c r="Q13" s="12"/>
      <c r="R13" s="12"/>
    </row>
    <row r="14" spans="1:29" ht="14.45" customHeight="1" x14ac:dyDescent="0.25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4" t="s">
        <v>57</v>
      </c>
      <c r="P14" s="91" t="s">
        <v>113</v>
      </c>
      <c r="Q14" s="12"/>
      <c r="R14" s="12"/>
    </row>
    <row r="15" spans="1:29" ht="15" customHeight="1" x14ac:dyDescent="0.25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5"/>
      <c r="P15" s="92" t="s">
        <v>159</v>
      </c>
      <c r="Q15" s="12"/>
      <c r="R15" s="12"/>
    </row>
    <row r="16" spans="1:29" ht="15.75" x14ac:dyDescent="0.25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4" t="s">
        <v>67</v>
      </c>
      <c r="P16" s="91" t="s">
        <v>181</v>
      </c>
      <c r="Q16" s="12"/>
      <c r="R16" s="12"/>
    </row>
    <row r="17" spans="1:18" ht="15" customHeight="1" x14ac:dyDescent="0.25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7"/>
      <c r="P17" s="93"/>
    </row>
    <row r="18" spans="1:18" ht="15.75" x14ac:dyDescent="0.25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4" t="s">
        <v>115</v>
      </c>
      <c r="P18" s="91" t="s">
        <v>116</v>
      </c>
    </row>
    <row r="19" spans="1:18" x14ac:dyDescent="0.25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6"/>
      <c r="P19" s="92" t="s">
        <v>114</v>
      </c>
    </row>
    <row r="20" spans="1:18" x14ac:dyDescent="0.25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25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25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5" customHeight="1" x14ac:dyDescent="0.25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25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25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25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25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25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25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25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25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25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25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25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25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25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25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.75" thickBot="1" x14ac:dyDescent="0.3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5">
        <f t="shared" si="0"/>
        <v>0</v>
      </c>
      <c r="N38" s="26"/>
    </row>
    <row r="39" spans="1:22" ht="19.5" thickBot="1" x14ac:dyDescent="0.35">
      <c r="A39" s="183" t="s">
        <v>167</v>
      </c>
      <c r="B39" s="184"/>
      <c r="C39" s="144">
        <f>SUMPRODUCT(C4:C38,ENCAISSEMENTS!$N$4:$N$38)</f>
        <v>40000</v>
      </c>
      <c r="D39" s="144">
        <f>SUMPRODUCT(D4:D38,ENCAISSEMENTS!$N$4:$N$38)</f>
        <v>0</v>
      </c>
      <c r="E39" s="144">
        <f>SUMPRODUCT(E4:E38,ENCAISSEMENTS!$N$4:$N$38)</f>
        <v>0</v>
      </c>
      <c r="F39" s="144">
        <f>SUMPRODUCT(F4:F38,ENCAISSEMENTS!$N$4:$N$38)</f>
        <v>0</v>
      </c>
      <c r="G39" s="144">
        <f>SUMPRODUCT(G4:G38,ENCAISSEMENTS!$N$4:$N$38)</f>
        <v>0</v>
      </c>
      <c r="H39" s="144">
        <f>SUMPRODUCT(H4:H38,ENCAISSEMENTS!$N$4:$N$38)</f>
        <v>0</v>
      </c>
      <c r="I39" s="144">
        <f>SUMPRODUCT(I4:I38,ENCAISSEMENTS!$N$4:$N$38)</f>
        <v>0</v>
      </c>
      <c r="J39" s="144">
        <f>SUMPRODUCT(J4:J38,ENCAISSEMENTS!$N$4:$N$38)</f>
        <v>0</v>
      </c>
      <c r="K39" s="144">
        <f>SUMPRODUCT(K4:K38,ENCAISSEMENTS!$N$4:$N$38)</f>
        <v>0</v>
      </c>
      <c r="L39" s="144">
        <f>SUMPRODUCT(L4:L38,ENCAISSEMENTS!$N$4:$N$38)</f>
        <v>0</v>
      </c>
      <c r="M39" s="146">
        <f>SUM(C39:L39)</f>
        <v>40000</v>
      </c>
    </row>
    <row r="42" spans="1:22" ht="26.25" x14ac:dyDescent="0.4">
      <c r="B42" s="182" t="s">
        <v>103</v>
      </c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O42" s="143" t="s">
        <v>106</v>
      </c>
      <c r="P42" s="110"/>
    </row>
    <row r="44" spans="1:22" s="13" customFormat="1" ht="31.5" x14ac:dyDescent="0.25">
      <c r="A44" s="12"/>
      <c r="C44" s="17" t="s">
        <v>58</v>
      </c>
      <c r="D44" s="17" t="s">
        <v>59</v>
      </c>
      <c r="E44" s="17" t="s">
        <v>60</v>
      </c>
      <c r="F44" s="104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4" t="s">
        <v>117</v>
      </c>
      <c r="P44" s="91" t="s">
        <v>122</v>
      </c>
      <c r="Q44" s="12"/>
      <c r="R44" s="12"/>
      <c r="S44" s="12"/>
      <c r="T44" s="12"/>
      <c r="U44" s="12"/>
      <c r="V44" s="12"/>
    </row>
    <row r="45" spans="1:22" ht="15.75" x14ac:dyDescent="0.25">
      <c r="A45" s="12" t="str">
        <f>ENCAISSEMENTS!A4</f>
        <v>oui</v>
      </c>
      <c r="B45" s="1" t="str">
        <f>ENCAISSEMENTS!B4</f>
        <v>INSTALL 1</v>
      </c>
      <c r="C45" s="16">
        <f>ENCAISSEMENTS!C4</f>
        <v>200</v>
      </c>
      <c r="D45" s="34">
        <v>350</v>
      </c>
      <c r="E45" s="34">
        <v>200</v>
      </c>
      <c r="F45" s="34">
        <f>5%*ENCAISSEMENTS!H4</f>
        <v>224.5</v>
      </c>
      <c r="G45" s="39">
        <v>43</v>
      </c>
      <c r="H45" s="39"/>
      <c r="I45" s="39"/>
      <c r="J45" s="39"/>
      <c r="K45" s="111">
        <f>SUM(D45:J45)</f>
        <v>817.5</v>
      </c>
      <c r="O45" s="97"/>
      <c r="P45" s="93" t="s">
        <v>123</v>
      </c>
      <c r="R45" s="12"/>
    </row>
    <row r="46" spans="1:22" ht="15.75" x14ac:dyDescent="0.25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11">
        <f t="shared" ref="K46:K79" si="1">SUM(D46:J46)</f>
        <v>0</v>
      </c>
      <c r="O46" s="94" t="s">
        <v>118</v>
      </c>
      <c r="P46" s="91" t="s">
        <v>183</v>
      </c>
      <c r="R46" s="12"/>
    </row>
    <row r="47" spans="1:22" ht="15.75" x14ac:dyDescent="0.25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11">
        <f t="shared" si="1"/>
        <v>0</v>
      </c>
      <c r="O47" s="97"/>
      <c r="P47" s="93" t="s">
        <v>195</v>
      </c>
      <c r="R47" s="12"/>
    </row>
    <row r="48" spans="1:22" ht="15.75" x14ac:dyDescent="0.25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11">
        <f t="shared" si="1"/>
        <v>0</v>
      </c>
      <c r="O48" s="98"/>
      <c r="P48" s="93" t="s">
        <v>196</v>
      </c>
      <c r="R48" s="12"/>
    </row>
    <row r="49" spans="1:28" ht="15.75" x14ac:dyDescent="0.25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11">
        <f t="shared" si="1"/>
        <v>0</v>
      </c>
      <c r="O49" s="98"/>
      <c r="P49" s="93" t="s">
        <v>197</v>
      </c>
      <c r="R49" s="12"/>
    </row>
    <row r="50" spans="1:28" ht="15.75" x14ac:dyDescent="0.25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11">
        <f t="shared" si="1"/>
        <v>0</v>
      </c>
      <c r="O50" s="98"/>
      <c r="P50" s="93" t="s">
        <v>198</v>
      </c>
      <c r="R50" s="12"/>
    </row>
    <row r="51" spans="1:28" ht="15.75" x14ac:dyDescent="0.25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11">
        <f t="shared" si="1"/>
        <v>0</v>
      </c>
      <c r="O51" s="98"/>
      <c r="P51" s="93" t="s">
        <v>199</v>
      </c>
      <c r="S51"/>
      <c r="T51"/>
      <c r="U51"/>
      <c r="V51"/>
      <c r="W51"/>
      <c r="X51"/>
      <c r="Y51"/>
      <c r="Z51"/>
      <c r="AA51"/>
      <c r="AB51"/>
    </row>
    <row r="52" spans="1:28" ht="15.75" x14ac:dyDescent="0.25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11">
        <f t="shared" si="1"/>
        <v>0</v>
      </c>
      <c r="O52" s="148"/>
      <c r="P52" s="93" t="s">
        <v>200</v>
      </c>
      <c r="S52"/>
      <c r="T52"/>
      <c r="U52"/>
      <c r="V52"/>
      <c r="W52"/>
      <c r="X52"/>
      <c r="Y52"/>
      <c r="Z52"/>
      <c r="AA52"/>
      <c r="AB52"/>
    </row>
    <row r="53" spans="1:28" ht="15.75" x14ac:dyDescent="0.25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11">
        <f t="shared" si="1"/>
        <v>0</v>
      </c>
      <c r="O53" s="148"/>
      <c r="P53" s="93" t="s">
        <v>201</v>
      </c>
      <c r="S53"/>
      <c r="T53"/>
      <c r="U53"/>
      <c r="V53"/>
      <c r="W53"/>
      <c r="X53"/>
      <c r="Y53"/>
      <c r="Z53"/>
      <c r="AA53"/>
      <c r="AB53"/>
    </row>
    <row r="54" spans="1:28" ht="15.75" x14ac:dyDescent="0.25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11">
        <f t="shared" si="1"/>
        <v>0</v>
      </c>
      <c r="O54" s="148"/>
      <c r="P54" s="93" t="s">
        <v>202</v>
      </c>
      <c r="S54"/>
      <c r="T54"/>
      <c r="U54"/>
      <c r="V54"/>
      <c r="W54"/>
      <c r="X54"/>
      <c r="Y54"/>
      <c r="Z54"/>
      <c r="AA54"/>
      <c r="AB54"/>
    </row>
    <row r="55" spans="1:28" ht="15.75" x14ac:dyDescent="0.25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11">
        <f t="shared" si="1"/>
        <v>0</v>
      </c>
      <c r="O55" s="148"/>
      <c r="P55" s="93" t="s">
        <v>203</v>
      </c>
      <c r="S55"/>
      <c r="T55"/>
      <c r="U55"/>
      <c r="V55"/>
      <c r="W55"/>
      <c r="X55"/>
      <c r="Y55"/>
      <c r="Z55"/>
      <c r="AA55"/>
      <c r="AB55"/>
    </row>
    <row r="56" spans="1:28" ht="15.75" x14ac:dyDescent="0.25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11">
        <f t="shared" si="1"/>
        <v>0</v>
      </c>
      <c r="O56" s="148"/>
      <c r="P56" s="93" t="s">
        <v>204</v>
      </c>
      <c r="S56"/>
      <c r="T56"/>
      <c r="U56"/>
      <c r="V56"/>
      <c r="W56"/>
      <c r="X56"/>
      <c r="Y56"/>
      <c r="Z56"/>
      <c r="AA56"/>
      <c r="AB56"/>
    </row>
    <row r="57" spans="1:28" ht="15.75" x14ac:dyDescent="0.25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11">
        <f t="shared" si="1"/>
        <v>0</v>
      </c>
      <c r="O57" s="112"/>
      <c r="P57" s="92" t="s">
        <v>194</v>
      </c>
      <c r="Q57" s="12"/>
      <c r="R57" s="12"/>
    </row>
    <row r="58" spans="1:28" ht="15.75" x14ac:dyDescent="0.25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11">
        <f t="shared" si="1"/>
        <v>0</v>
      </c>
      <c r="O58" s="99" t="s">
        <v>119</v>
      </c>
      <c r="P58" s="93" t="s">
        <v>160</v>
      </c>
      <c r="R58" s="12"/>
    </row>
    <row r="59" spans="1:28" ht="15.75" x14ac:dyDescent="0.25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11">
        <f t="shared" si="1"/>
        <v>0</v>
      </c>
      <c r="O59" s="95"/>
      <c r="P59" s="92" t="s">
        <v>124</v>
      </c>
      <c r="Q59" s="12"/>
      <c r="R59" s="12"/>
    </row>
    <row r="60" spans="1:28" ht="15.75" x14ac:dyDescent="0.25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11">
        <f t="shared" si="1"/>
        <v>0</v>
      </c>
      <c r="O60" s="94" t="s">
        <v>36</v>
      </c>
      <c r="P60" s="91" t="s">
        <v>125</v>
      </c>
      <c r="Q60" s="12"/>
      <c r="R60" s="12"/>
    </row>
    <row r="61" spans="1:28" ht="15.75" x14ac:dyDescent="0.25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11">
        <f t="shared" si="1"/>
        <v>0</v>
      </c>
      <c r="O61" s="95"/>
      <c r="P61" s="92" t="s">
        <v>205</v>
      </c>
      <c r="Q61" s="12"/>
      <c r="R61" s="12"/>
    </row>
    <row r="62" spans="1:28" ht="15.75" x14ac:dyDescent="0.25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11">
        <f t="shared" si="1"/>
        <v>0</v>
      </c>
      <c r="O62" s="94" t="s">
        <v>68</v>
      </c>
      <c r="P62" s="91" t="s">
        <v>184</v>
      </c>
      <c r="Q62" s="12"/>
      <c r="R62" s="12"/>
    </row>
    <row r="63" spans="1:28" ht="15.75" x14ac:dyDescent="0.25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11">
        <f t="shared" si="1"/>
        <v>0</v>
      </c>
      <c r="O63" s="95"/>
      <c r="P63" s="92" t="s">
        <v>126</v>
      </c>
      <c r="Q63" s="12"/>
      <c r="R63" s="12"/>
    </row>
    <row r="64" spans="1:28" ht="15.75" x14ac:dyDescent="0.25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11">
        <f t="shared" si="1"/>
        <v>0</v>
      </c>
      <c r="O64" s="94" t="s">
        <v>120</v>
      </c>
      <c r="P64" s="91" t="s">
        <v>127</v>
      </c>
      <c r="Q64" s="12"/>
      <c r="R64" s="12"/>
    </row>
    <row r="65" spans="1:18" ht="15.75" x14ac:dyDescent="0.25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11">
        <f t="shared" si="1"/>
        <v>0</v>
      </c>
      <c r="O65" s="95"/>
      <c r="P65" s="92" t="s">
        <v>128</v>
      </c>
      <c r="Q65" s="12"/>
      <c r="R65" s="12"/>
    </row>
    <row r="66" spans="1:18" ht="15.75" x14ac:dyDescent="0.25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11">
        <f t="shared" si="1"/>
        <v>0</v>
      </c>
      <c r="O66" s="94" t="s">
        <v>121</v>
      </c>
      <c r="P66" s="91" t="s">
        <v>129</v>
      </c>
      <c r="Q66" s="12"/>
      <c r="R66" s="12"/>
    </row>
    <row r="67" spans="1:18" ht="15.75" x14ac:dyDescent="0.25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11">
        <f t="shared" si="1"/>
        <v>0</v>
      </c>
      <c r="O67" s="112"/>
      <c r="P67" s="92"/>
      <c r="Q67" s="12"/>
      <c r="R67" s="12"/>
    </row>
    <row r="68" spans="1:18" ht="15.75" x14ac:dyDescent="0.25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11">
        <f t="shared" si="1"/>
        <v>0</v>
      </c>
      <c r="Q68" s="12"/>
      <c r="R68" s="12"/>
    </row>
    <row r="69" spans="1:18" ht="15.75" x14ac:dyDescent="0.25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11">
        <f t="shared" si="1"/>
        <v>0</v>
      </c>
      <c r="Q69" s="12"/>
      <c r="R69" s="12"/>
    </row>
    <row r="70" spans="1:18" ht="15.75" x14ac:dyDescent="0.25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11">
        <f t="shared" si="1"/>
        <v>0</v>
      </c>
      <c r="Q70" s="12"/>
      <c r="R70" s="12"/>
    </row>
    <row r="71" spans="1:18" ht="15.75" x14ac:dyDescent="0.25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11">
        <f t="shared" si="1"/>
        <v>0</v>
      </c>
      <c r="Q71" s="12"/>
      <c r="R71" s="12"/>
    </row>
    <row r="72" spans="1:18" ht="15.75" x14ac:dyDescent="0.25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11">
        <f t="shared" si="1"/>
        <v>0</v>
      </c>
      <c r="Q72" s="12"/>
      <c r="R72" s="12"/>
    </row>
    <row r="73" spans="1:18" ht="15.75" x14ac:dyDescent="0.25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11">
        <f t="shared" si="1"/>
        <v>0</v>
      </c>
      <c r="Q73" s="12"/>
      <c r="R73" s="12"/>
    </row>
    <row r="74" spans="1:18" ht="15.75" x14ac:dyDescent="0.25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11">
        <f t="shared" si="1"/>
        <v>0</v>
      </c>
      <c r="Q74" s="12"/>
      <c r="R74" s="12"/>
    </row>
    <row r="75" spans="1:18" ht="15.75" x14ac:dyDescent="0.25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11">
        <f t="shared" si="1"/>
        <v>0</v>
      </c>
      <c r="Q75" s="12"/>
      <c r="R75" s="12"/>
    </row>
    <row r="76" spans="1:18" ht="15.75" x14ac:dyDescent="0.25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11">
        <f t="shared" si="1"/>
        <v>0</v>
      </c>
      <c r="R76" s="12"/>
    </row>
    <row r="77" spans="1:18" ht="15.75" x14ac:dyDescent="0.25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11">
        <f t="shared" si="1"/>
        <v>0</v>
      </c>
      <c r="R77" s="12"/>
    </row>
    <row r="78" spans="1:18" ht="15.75" x14ac:dyDescent="0.25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11">
        <f t="shared" si="1"/>
        <v>0</v>
      </c>
      <c r="Q78" s="12"/>
      <c r="R78" s="12"/>
    </row>
    <row r="79" spans="1:18" ht="16.5" thickBot="1" x14ac:dyDescent="0.3">
      <c r="A79" s="12" t="str">
        <f>ENCAISSEMENTS!A38</f>
        <v>oui</v>
      </c>
      <c r="B79" s="149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50">
        <f t="shared" si="1"/>
        <v>0</v>
      </c>
      <c r="R79" s="12"/>
    </row>
    <row r="80" spans="1:18" ht="19.5" thickBot="1" x14ac:dyDescent="0.35">
      <c r="A80" s="183" t="s">
        <v>167</v>
      </c>
      <c r="B80" s="184"/>
      <c r="C80" s="144">
        <f>SUMPRODUCT(C45:C79,ENCAISSEMENTS!$N$4:$N$38)</f>
        <v>200</v>
      </c>
      <c r="D80" s="144">
        <f>SUMPRODUCT(D45:D79,ENCAISSEMENTS!$N$4:$N$38)</f>
        <v>350</v>
      </c>
      <c r="E80" s="144">
        <f>SUMPRODUCT(E45:E79,ENCAISSEMENTS!$N$4:$N$38)</f>
        <v>200</v>
      </c>
      <c r="F80" s="144">
        <f>SUMPRODUCT(F45:F79,ENCAISSEMENTS!$N$4:$N$38)</f>
        <v>224.5</v>
      </c>
      <c r="G80" s="144">
        <f>SUMPRODUCT(G45:G79,ENCAISSEMENTS!$N$4:$N$38)</f>
        <v>43</v>
      </c>
      <c r="H80" s="144">
        <f>SUMPRODUCT(H45:H79,ENCAISSEMENTS!$N$4:$N$38)</f>
        <v>0</v>
      </c>
      <c r="I80" s="144">
        <f>SUMPRODUCT(I45:I79,ENCAISSEMENTS!$N$4:$N$38)</f>
        <v>0</v>
      </c>
      <c r="J80" s="144">
        <f>SUMPRODUCT(J45:J79,ENCAISSEMENTS!$N$4:$N$38)</f>
        <v>0</v>
      </c>
      <c r="K80" s="151">
        <f>SUM(D80:J80)</f>
        <v>817.5</v>
      </c>
      <c r="R80" s="12"/>
    </row>
    <row r="81" spans="2:17" x14ac:dyDescent="0.25">
      <c r="Q81" s="95"/>
    </row>
    <row r="82" spans="2:17" ht="26.25" x14ac:dyDescent="0.4">
      <c r="B82" s="182" t="s">
        <v>186</v>
      </c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</row>
    <row r="84" spans="2:17" x14ac:dyDescent="0.25">
      <c r="B84" s="1" t="s">
        <v>51</v>
      </c>
      <c r="C84" s="14" t="s">
        <v>105</v>
      </c>
      <c r="D84" s="15"/>
      <c r="E84" s="33"/>
      <c r="G84" s="12" t="s">
        <v>162</v>
      </c>
    </row>
    <row r="85" spans="2:17" x14ac:dyDescent="0.25">
      <c r="B85" s="1" t="s">
        <v>51</v>
      </c>
      <c r="C85" s="14" t="s">
        <v>39</v>
      </c>
      <c r="D85" s="15"/>
      <c r="E85" s="33"/>
      <c r="G85" s="12" t="s">
        <v>161</v>
      </c>
    </row>
    <row r="86" spans="2:17" x14ac:dyDescent="0.25">
      <c r="B86" s="1" t="s">
        <v>52</v>
      </c>
      <c r="C86" s="14" t="s">
        <v>50</v>
      </c>
      <c r="D86" s="15"/>
      <c r="E86" s="33"/>
      <c r="G86" s="12" t="s">
        <v>163</v>
      </c>
    </row>
    <row r="87" spans="2:17" x14ac:dyDescent="0.25">
      <c r="B87" s="1" t="s">
        <v>188</v>
      </c>
      <c r="C87" s="14" t="s">
        <v>187</v>
      </c>
      <c r="D87" s="15"/>
      <c r="E87" s="33"/>
      <c r="G87" s="12" t="s">
        <v>189</v>
      </c>
    </row>
    <row r="89" spans="2:17" x14ac:dyDescent="0.25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4" priority="6" operator="equal">
      <formula>"oui"</formula>
    </cfRule>
  </conditionalFormatting>
  <conditionalFormatting sqref="A4">
    <cfRule type="cellIs" dxfId="3" priority="4" operator="equal">
      <formula>"Oui"</formula>
    </cfRule>
  </conditionalFormatting>
  <conditionalFormatting sqref="A4">
    <cfRule type="cellIs" dxfId="2" priority="3" operator="equal">
      <formula>"NON"</formula>
    </cfRule>
  </conditionalFormatting>
  <conditionalFormatting sqref="A5:A38">
    <cfRule type="cellIs" dxfId="1" priority="2" operator="equal">
      <formula>"Oui"</formula>
    </cfRule>
  </conditionalFormatting>
  <conditionalFormatting sqref="A5:A38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SIG</vt:lpstr>
      <vt:lpstr>ENCAISSEMENTS</vt:lpstr>
      <vt:lpstr>DECAISSEMENTS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lastPrinted>2015-07-06T14:54:07Z</cp:lastPrinted>
  <dcterms:created xsi:type="dcterms:W3CDTF">2012-12-14T09:34:10Z</dcterms:created>
  <dcterms:modified xsi:type="dcterms:W3CDTF">2020-10-02T14:05:32Z</dcterms:modified>
</cp:coreProperties>
</file>