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0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42" i="1" l="1"/>
  <c r="AB41" i="1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45" i="4"/>
  <c r="C80" i="4" s="1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K45" i="4" l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C13" i="1" l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<sst xmlns="http://schemas.openxmlformats.org/spreadsheetml/2006/main" count="253" uniqueCount="206">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</sst>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</cellStyleXfs>
  <cellXfs count="18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1" fontId="29" fillId="0" borderId="0" xfId="0" applyNumberFormat="1" applyFont="1" applyAlignment="1" applyProtection="1">
      <alignment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</cellXfs>
  <cellStyles count="39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topLeftCell="A13" zoomScale="80" zoomScaleNormal="80" workbookViewId="0">
      <selection activeCell="M14" sqref="M14"/>
    </sheetView>
  </sheetViews>
  <sheetFormatPr baseColWidth="10" defaultColWidth="11.5703125" defaultRowHeight="16.899999999999999" customHeight="1" x14ac:dyDescent="0.25"/>
  <cols>
    <col min="1" max="1" width="23.5703125" style="41" customWidth="1"/>
    <col min="2" max="2" width="16.5703125" style="41" customWidth="1"/>
    <col min="3" max="3" width="13.28515625" style="41" customWidth="1"/>
    <col min="4" max="4" width="12.7109375" style="41" customWidth="1"/>
    <col min="5" max="5" width="8.42578125" style="41" customWidth="1"/>
    <col min="6" max="6" width="10.7109375" style="41" customWidth="1"/>
    <col min="7" max="11" width="8.42578125" style="41" customWidth="1"/>
    <col min="12" max="12" width="10.28515625" style="41" customWidth="1"/>
    <col min="13" max="13" width="9.5703125" style="41" customWidth="1"/>
    <col min="14" max="23" width="8.42578125" style="41" customWidth="1"/>
    <col min="24" max="25" width="11.5703125" style="41"/>
    <col min="26" max="26" width="14.7109375" style="41" customWidth="1"/>
    <col min="27" max="27" width="11.5703125" style="112"/>
    <col min="28" max="32" width="11.5703125" style="112" customWidth="1"/>
    <col min="33" max="35" width="11.5703125" style="112"/>
    <col min="36" max="16384" width="11.5703125" style="41"/>
  </cols>
  <sheetData>
    <row r="1" spans="1:39" s="40" customFormat="1" ht="16.899999999999999" customHeight="1" x14ac:dyDescent="0.35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Y1" s="41"/>
      <c r="Z1" s="41"/>
      <c r="AA1" s="112"/>
      <c r="AC1" s="113"/>
      <c r="AD1" s="114">
        <v>1</v>
      </c>
      <c r="AE1" s="112"/>
      <c r="AF1" s="112"/>
      <c r="AG1" s="112"/>
      <c r="AH1" s="112"/>
      <c r="AI1" s="112"/>
      <c r="AJ1" s="41"/>
      <c r="AK1" s="41"/>
      <c r="AL1" s="41"/>
      <c r="AM1" s="41"/>
    </row>
    <row r="2" spans="1:39" ht="16.899999999999999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2">
        <f t="shared" ref="AB2:AB10" si="0">AB3-20</f>
        <v>200</v>
      </c>
      <c r="AC2" s="112">
        <v>8</v>
      </c>
      <c r="AD2" s="114">
        <v>1.01</v>
      </c>
      <c r="AE2" s="112" t="s">
        <v>81</v>
      </c>
      <c r="AF2" s="114">
        <v>0.05</v>
      </c>
    </row>
    <row r="3" spans="1:39" ht="16.899999999999999" customHeight="1" x14ac:dyDescent="0.25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2">
        <f t="shared" si="0"/>
        <v>220</v>
      </c>
      <c r="AC3" s="112">
        <v>9</v>
      </c>
      <c r="AD3" s="114"/>
      <c r="AE3" s="112" t="s">
        <v>80</v>
      </c>
      <c r="AF3" s="114"/>
    </row>
    <row r="4" spans="1:39" ht="16.899999999999999" customHeight="1" x14ac:dyDescent="0.25">
      <c r="A4" s="41" t="s">
        <v>79</v>
      </c>
      <c r="B4" s="80" t="s">
        <v>81</v>
      </c>
      <c r="J4" s="49"/>
      <c r="AB4" s="112">
        <f t="shared" si="0"/>
        <v>240</v>
      </c>
      <c r="AC4" s="112">
        <v>10</v>
      </c>
      <c r="AD4" s="114"/>
      <c r="AF4" s="114"/>
    </row>
    <row r="5" spans="1:39" ht="16.899999999999999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2">
        <f t="shared" si="0"/>
        <v>260</v>
      </c>
      <c r="AC5" s="112">
        <v>11</v>
      </c>
      <c r="AD5" s="114">
        <v>1.02</v>
      </c>
      <c r="AF5" s="114">
        <f>AF2+5%</f>
        <v>0.1</v>
      </c>
    </row>
    <row r="6" spans="1:39" s="54" customFormat="1" ht="16.899999999999999" customHeight="1" x14ac:dyDescent="0.25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3" t="s">
        <v>0</v>
      </c>
      <c r="L6" s="163"/>
      <c r="M6" s="163"/>
      <c r="N6" s="163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2"/>
      <c r="AB6" s="112">
        <f t="shared" si="0"/>
        <v>280</v>
      </c>
      <c r="AC6" s="112">
        <v>12</v>
      </c>
      <c r="AD6" s="115">
        <v>1.03</v>
      </c>
      <c r="AE6" s="112"/>
      <c r="AF6" s="114">
        <f t="shared" ref="AF6:AF14" si="1">AF5+5%</f>
        <v>0.15000000000000002</v>
      </c>
      <c r="AG6" s="112"/>
      <c r="AH6" s="112"/>
      <c r="AI6" s="112"/>
      <c r="AJ6" s="41"/>
      <c r="AK6" s="41"/>
      <c r="AL6" s="41"/>
      <c r="AM6" s="41"/>
    </row>
    <row r="7" spans="1:39" ht="16.899999999999999" customHeight="1" x14ac:dyDescent="0.25">
      <c r="AB7" s="112">
        <f t="shared" si="0"/>
        <v>300</v>
      </c>
      <c r="AC7" s="112">
        <v>13</v>
      </c>
      <c r="AD7" s="115">
        <f>1%+AD6</f>
        <v>1.04</v>
      </c>
      <c r="AF7" s="114">
        <f t="shared" si="1"/>
        <v>0.2</v>
      </c>
    </row>
    <row r="8" spans="1:39" s="56" customFormat="1" ht="15" x14ac:dyDescent="0.25">
      <c r="A8" s="157" t="s">
        <v>23</v>
      </c>
      <c r="B8" s="158"/>
      <c r="C8" s="55">
        <f>ENCAISSEMENTS!C39</f>
        <v>540</v>
      </c>
      <c r="F8" s="157" t="s">
        <v>42</v>
      </c>
      <c r="G8" s="159"/>
      <c r="H8" s="158"/>
      <c r="I8" s="85">
        <v>5.0000000000000001E-3</v>
      </c>
      <c r="K8" s="157" t="s">
        <v>173</v>
      </c>
      <c r="L8" s="158"/>
      <c r="M8" s="57">
        <f>M9*M10</f>
        <v>122000</v>
      </c>
      <c r="N8" s="58">
        <f>M8/C11</f>
        <v>0.81333333333333335</v>
      </c>
      <c r="O8" s="157" t="s">
        <v>87</v>
      </c>
      <c r="P8" s="158"/>
      <c r="Q8" s="81"/>
      <c r="R8" s="41"/>
      <c r="S8" s="157" t="s">
        <v>192</v>
      </c>
      <c r="T8" s="159"/>
      <c r="U8" s="158"/>
      <c r="V8" s="154">
        <f>(M8+M14)/C11</f>
        <v>0.81333333333333335</v>
      </c>
      <c r="W8" s="41"/>
      <c r="X8" s="41"/>
      <c r="Y8" s="41"/>
      <c r="Z8" s="41"/>
      <c r="AA8" s="112"/>
      <c r="AB8" s="112">
        <f t="shared" si="0"/>
        <v>320</v>
      </c>
      <c r="AC8" s="112">
        <v>14</v>
      </c>
      <c r="AD8" s="115">
        <f t="shared" ref="AD8:AD19" si="2">1%+AD7</f>
        <v>1.05</v>
      </c>
      <c r="AE8" s="116"/>
      <c r="AF8" s="114">
        <f t="shared" si="1"/>
        <v>0.25</v>
      </c>
      <c r="AG8" s="116"/>
      <c r="AH8" s="116"/>
      <c r="AI8" s="116"/>
    </row>
    <row r="9" spans="1:39" ht="15" x14ac:dyDescent="0.25">
      <c r="A9" s="161" t="s">
        <v>24</v>
      </c>
      <c r="B9" s="162"/>
      <c r="C9" s="59">
        <f>ENCAISSEMENTS!D39</f>
        <v>100</v>
      </c>
      <c r="F9" s="157" t="s">
        <v>3</v>
      </c>
      <c r="G9" s="159"/>
      <c r="H9" s="158"/>
      <c r="I9" s="85">
        <v>5.0000000000000001E-3</v>
      </c>
      <c r="K9" s="161" t="s">
        <v>96</v>
      </c>
      <c r="L9" s="162"/>
      <c r="M9" s="80">
        <v>2440</v>
      </c>
      <c r="O9" s="157" t="s">
        <v>168</v>
      </c>
      <c r="P9" s="158"/>
      <c r="Q9" s="82"/>
      <c r="AB9" s="112">
        <f t="shared" si="0"/>
        <v>340</v>
      </c>
      <c r="AC9" s="112">
        <v>15</v>
      </c>
      <c r="AD9" s="115">
        <f t="shared" si="2"/>
        <v>1.06</v>
      </c>
      <c r="AF9" s="114">
        <f t="shared" si="1"/>
        <v>0.3</v>
      </c>
    </row>
    <row r="10" spans="1:39" ht="15" x14ac:dyDescent="0.25">
      <c r="A10" s="157" t="s">
        <v>26</v>
      </c>
      <c r="B10" s="158"/>
      <c r="C10" s="60">
        <f>ENCAISSEMENTS!E39</f>
        <v>112500</v>
      </c>
      <c r="F10" s="157" t="s">
        <v>4</v>
      </c>
      <c r="G10" s="159"/>
      <c r="H10" s="158"/>
      <c r="I10" s="82">
        <v>0.01</v>
      </c>
      <c r="K10" s="161" t="s">
        <v>97</v>
      </c>
      <c r="L10" s="162"/>
      <c r="M10" s="84">
        <v>50</v>
      </c>
      <c r="O10" s="157" t="s">
        <v>12</v>
      </c>
      <c r="P10" s="158"/>
      <c r="Q10" s="79"/>
      <c r="S10" s="157" t="s">
        <v>193</v>
      </c>
      <c r="T10" s="159"/>
      <c r="U10" s="158"/>
      <c r="V10" s="153">
        <f>DECAISSEMENTS!C39/(ENCAISSEMENTS!D39*1000)</f>
        <v>1.5</v>
      </c>
      <c r="AB10" s="112">
        <f t="shared" si="0"/>
        <v>360</v>
      </c>
      <c r="AC10" s="112">
        <v>16</v>
      </c>
      <c r="AD10" s="115">
        <f t="shared" si="2"/>
        <v>1.07</v>
      </c>
      <c r="AF10" s="114">
        <f t="shared" si="1"/>
        <v>0.35</v>
      </c>
    </row>
    <row r="11" spans="1:39" ht="15" x14ac:dyDescent="0.25">
      <c r="A11" s="131" t="s">
        <v>28</v>
      </c>
      <c r="B11" s="132"/>
      <c r="C11" s="61">
        <f>DECAISSEMENTS!M39</f>
        <v>150000</v>
      </c>
      <c r="F11" s="157" t="s">
        <v>43</v>
      </c>
      <c r="G11" s="159"/>
      <c r="H11" s="158"/>
      <c r="I11" s="86">
        <v>0.57499999999999996</v>
      </c>
      <c r="K11" s="157" t="s">
        <v>30</v>
      </c>
      <c r="L11" s="158"/>
      <c r="M11" s="57">
        <f>1.01*C11-M8-Q8-M14</f>
        <v>29500</v>
      </c>
      <c r="N11"/>
      <c r="AB11" s="112">
        <f>AB12-20</f>
        <v>380</v>
      </c>
      <c r="AD11" s="115">
        <f t="shared" si="2"/>
        <v>1.08</v>
      </c>
      <c r="AF11" s="114">
        <f t="shared" si="1"/>
        <v>0.39999999999999997</v>
      </c>
    </row>
    <row r="12" spans="1:39" ht="15" x14ac:dyDescent="0.25">
      <c r="A12" s="131" t="s">
        <v>25</v>
      </c>
      <c r="B12" s="132"/>
      <c r="C12" s="61">
        <f>ENCAISSEMENTS!H39</f>
        <v>11250</v>
      </c>
      <c r="F12" s="157" t="s">
        <v>44</v>
      </c>
      <c r="G12" s="159"/>
      <c r="H12" s="158"/>
      <c r="I12" s="86">
        <v>0.57499999999999996</v>
      </c>
      <c r="K12" s="161" t="s">
        <v>45</v>
      </c>
      <c r="L12" s="162"/>
      <c r="M12" s="83">
        <v>8.9999999999999993E-3</v>
      </c>
      <c r="AB12" s="112">
        <v>400</v>
      </c>
      <c r="AD12" s="115">
        <f t="shared" si="2"/>
        <v>1.0900000000000001</v>
      </c>
      <c r="AF12" s="114">
        <f t="shared" si="1"/>
        <v>0.44999999999999996</v>
      </c>
    </row>
    <row r="13" spans="1:39" ht="15" x14ac:dyDescent="0.25">
      <c r="A13" s="131" t="s">
        <v>29</v>
      </c>
      <c r="B13" s="132"/>
      <c r="C13" s="62">
        <f>DECAISSEMENTS!K80</f>
        <v>2200</v>
      </c>
      <c r="F13" s="157" t="s">
        <v>14</v>
      </c>
      <c r="G13" s="159"/>
      <c r="H13" s="158"/>
      <c r="I13" s="86">
        <v>0.03</v>
      </c>
      <c r="K13" s="161" t="s">
        <v>12</v>
      </c>
      <c r="L13" s="162"/>
      <c r="M13" s="80">
        <v>10</v>
      </c>
      <c r="AB13" s="112">
        <v>450</v>
      </c>
      <c r="AD13" s="115">
        <f t="shared" si="2"/>
        <v>1.1000000000000001</v>
      </c>
      <c r="AF13" s="114">
        <f t="shared" si="1"/>
        <v>0.49999999999999994</v>
      </c>
    </row>
    <row r="14" spans="1:39" ht="15" x14ac:dyDescent="0.25">
      <c r="A14" s="157" t="s">
        <v>38</v>
      </c>
      <c r="B14" s="158"/>
      <c r="C14" s="62">
        <f>DECAISSEMENTS!E84+DECAISSEMENTS!E85</f>
        <v>0</v>
      </c>
      <c r="F14" s="157" t="s">
        <v>34</v>
      </c>
      <c r="G14" s="159"/>
      <c r="H14" s="158"/>
      <c r="I14" s="86">
        <v>0.17199999999999999</v>
      </c>
      <c r="K14" s="161" t="s">
        <v>191</v>
      </c>
      <c r="L14" s="162"/>
      <c r="M14" s="80"/>
      <c r="AB14" s="112">
        <v>475</v>
      </c>
      <c r="AD14" s="115">
        <f t="shared" si="2"/>
        <v>1.1100000000000001</v>
      </c>
      <c r="AF14" s="114">
        <f t="shared" si="1"/>
        <v>0.54999999999999993</v>
      </c>
    </row>
    <row r="15" spans="1:39" ht="14.45" customHeight="1" x14ac:dyDescent="0.25">
      <c r="A15" s="161" t="s">
        <v>63</v>
      </c>
      <c r="B15" s="162"/>
      <c r="C15" s="62">
        <f>DECAISSEMENTS!E86</f>
        <v>0</v>
      </c>
      <c r="F15" s="170" t="s">
        <v>46</v>
      </c>
      <c r="G15" s="171"/>
      <c r="H15" s="172"/>
      <c r="I15" s="86">
        <v>0.99</v>
      </c>
      <c r="K15"/>
      <c r="L15"/>
      <c r="M15"/>
      <c r="N15"/>
      <c r="AB15" s="112">
        <v>500</v>
      </c>
      <c r="AD15" s="115">
        <f t="shared" si="2"/>
        <v>1.1200000000000001</v>
      </c>
      <c r="AF15" s="117">
        <v>0.57499999999999996</v>
      </c>
    </row>
    <row r="16" spans="1:39" ht="14.45" customHeight="1" x14ac:dyDescent="0.25">
      <c r="A16" s="161" t="s">
        <v>190</v>
      </c>
      <c r="B16" s="162"/>
      <c r="C16" s="62">
        <f>DECAISSEMENTS!E87</f>
        <v>0</v>
      </c>
      <c r="F16" s="63" t="s">
        <v>99</v>
      </c>
      <c r="G16" s="64"/>
      <c r="H16" s="65"/>
      <c r="I16" s="87"/>
      <c r="AB16" s="112">
        <f>AB15+50</f>
        <v>550</v>
      </c>
      <c r="AD16" s="115">
        <f t="shared" si="2"/>
        <v>1.1300000000000001</v>
      </c>
      <c r="AF16" s="114">
        <f>AF14+5%</f>
        <v>0.6</v>
      </c>
    </row>
    <row r="17" spans="1:44" ht="16.899999999999999" customHeight="1" x14ac:dyDescent="0.25">
      <c r="AB17" s="112">
        <f>AB16+10</f>
        <v>560</v>
      </c>
      <c r="AD17" s="115">
        <f t="shared" si="2"/>
        <v>1.1400000000000001</v>
      </c>
      <c r="AF17" s="114">
        <f>AF16+5%</f>
        <v>0.65</v>
      </c>
    </row>
    <row r="18" spans="1:44" ht="16.899999999999999" customHeight="1" x14ac:dyDescent="0.25">
      <c r="A18" s="163" t="s">
        <v>2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AB18" s="112">
        <f t="shared" ref="AB18:AB47" si="3">AB17+10</f>
        <v>570</v>
      </c>
      <c r="AD18" s="115">
        <f t="shared" si="2"/>
        <v>1.1500000000000001</v>
      </c>
      <c r="AF18" s="114">
        <f>AF17+5%</f>
        <v>0.70000000000000007</v>
      </c>
    </row>
    <row r="19" spans="1:44" ht="16.899999999999999" customHeight="1" thickBot="1" x14ac:dyDescent="0.3">
      <c r="AB19" s="112">
        <f t="shared" si="3"/>
        <v>580</v>
      </c>
      <c r="AD19" s="115">
        <f t="shared" si="2"/>
        <v>1.1600000000000001</v>
      </c>
      <c r="AF19" s="114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2">
        <f t="shared" si="3"/>
        <v>590</v>
      </c>
      <c r="AF20" s="114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64" t="s">
        <v>31</v>
      </c>
      <c r="B21" s="165"/>
      <c r="C21" s="127"/>
      <c r="D21" s="60">
        <f>C12*$I$15</f>
        <v>11137.5</v>
      </c>
      <c r="E21" s="60">
        <f t="shared" ref="E21:W21" si="4">$D$21*(1-perte_prod)^(E20-1)*(1+index_tarif)^(E20-1)</f>
        <v>11137.221562499999</v>
      </c>
      <c r="F21" s="60">
        <f t="shared" si="4"/>
        <v>11136.943131960936</v>
      </c>
      <c r="G21" s="60">
        <f t="shared" si="4"/>
        <v>11136.664708382634</v>
      </c>
      <c r="H21" s="60">
        <f t="shared" si="4"/>
        <v>11136.386291764922</v>
      </c>
      <c r="I21" s="60">
        <f t="shared" si="4"/>
        <v>11136.107882107628</v>
      </c>
      <c r="J21" s="60">
        <f t="shared" si="4"/>
        <v>11135.829479410571</v>
      </c>
      <c r="K21" s="60">
        <f t="shared" si="4"/>
        <v>11135.551083673585</v>
      </c>
      <c r="L21" s="60">
        <f t="shared" si="4"/>
        <v>11135.272694896492</v>
      </c>
      <c r="M21" s="60">
        <f t="shared" si="4"/>
        <v>11134.994313079118</v>
      </c>
      <c r="N21" s="60">
        <f t="shared" si="4"/>
        <v>11134.71593822129</v>
      </c>
      <c r="O21" s="60">
        <f t="shared" si="4"/>
        <v>11134.437570322834</v>
      </c>
      <c r="P21" s="60">
        <f t="shared" si="4"/>
        <v>11134.159209383572</v>
      </c>
      <c r="Q21" s="60">
        <f t="shared" si="4"/>
        <v>11133.880855403337</v>
      </c>
      <c r="R21" s="60">
        <f t="shared" si="4"/>
        <v>11133.602508381951</v>
      </c>
      <c r="S21" s="60">
        <f t="shared" si="4"/>
        <v>11133.324168319237</v>
      </c>
      <c r="T21" s="60">
        <f t="shared" si="4"/>
        <v>11133.045835215029</v>
      </c>
      <c r="U21" s="60">
        <f t="shared" si="4"/>
        <v>11132.767509069148</v>
      </c>
      <c r="V21" s="60">
        <f t="shared" si="4"/>
        <v>11132.489189881418</v>
      </c>
      <c r="W21" s="60">
        <f t="shared" si="4"/>
        <v>11132.210877651671</v>
      </c>
      <c r="AB21" s="112">
        <f t="shared" si="3"/>
        <v>600</v>
      </c>
      <c r="AF21" s="114">
        <f t="shared" ref="AF21:AF24" si="5">AF20+5%</f>
        <v>0.8500000000000002</v>
      </c>
    </row>
    <row r="22" spans="1:44" ht="16.899999999999999" customHeight="1" x14ac:dyDescent="0.25">
      <c r="A22" s="164" t="s">
        <v>1</v>
      </c>
      <c r="B22" s="165"/>
      <c r="C22" s="127"/>
      <c r="D22" s="60">
        <f>C14+C13</f>
        <v>2200</v>
      </c>
      <c r="E22" s="60">
        <f t="shared" ref="E22:M22" si="6">$C$13*(1+inflation)^(E20-1)</f>
        <v>2222</v>
      </c>
      <c r="F22" s="60">
        <f t="shared" si="6"/>
        <v>2244.2199999999998</v>
      </c>
      <c r="G22" s="60">
        <f t="shared" si="6"/>
        <v>2266.6621999999998</v>
      </c>
      <c r="H22" s="60">
        <f t="shared" si="6"/>
        <v>2289.3288219999999</v>
      </c>
      <c r="I22" s="60">
        <f t="shared" si="6"/>
        <v>2312.2221102199996</v>
      </c>
      <c r="J22" s="60">
        <f t="shared" si="6"/>
        <v>2335.3443313222001</v>
      </c>
      <c r="K22" s="60">
        <f t="shared" si="6"/>
        <v>2358.6977746354214</v>
      </c>
      <c r="L22" s="60">
        <f t="shared" si="6"/>
        <v>2382.2847523817763</v>
      </c>
      <c r="M22" s="60">
        <f t="shared" si="6"/>
        <v>2406.1075999055943</v>
      </c>
      <c r="N22" s="60">
        <f>(C15+C13+C16/5)*(1+inflation)^(N20-1)</f>
        <v>2430.1686759046506</v>
      </c>
      <c r="O22" s="60">
        <f>($C$13+C16/5)*(1+inflation)^(O20-1)</f>
        <v>2454.4703626636965</v>
      </c>
      <c r="P22" s="60">
        <f>($C$13+C16/5)*(1+inflation)^(P20-1)</f>
        <v>2479.0150662903334</v>
      </c>
      <c r="Q22" s="60">
        <f>($C$13+C16/5)*(1+inflation)^(Q20-1)</f>
        <v>2503.805216953237</v>
      </c>
      <c r="R22" s="60">
        <f>($C$13+C16/5)*(1+inflation)^(R20-1)</f>
        <v>2528.8432691227695</v>
      </c>
      <c r="S22" s="60">
        <f t="shared" ref="S22:W22" si="7">$C$13*(1+inflation)^(S20-1)</f>
        <v>2554.1317018139966</v>
      </c>
      <c r="T22" s="60">
        <f t="shared" si="7"/>
        <v>2579.6730188321371</v>
      </c>
      <c r="U22" s="60">
        <f t="shared" si="7"/>
        <v>2605.4697490204589</v>
      </c>
      <c r="V22" s="60">
        <f t="shared" si="7"/>
        <v>2631.5244465106634</v>
      </c>
      <c r="W22" s="60">
        <f t="shared" si="7"/>
        <v>2657.8396909757694</v>
      </c>
      <c r="AB22" s="112">
        <f t="shared" si="3"/>
        <v>610</v>
      </c>
      <c r="AF22" s="114">
        <f t="shared" si="5"/>
        <v>0.90000000000000024</v>
      </c>
    </row>
    <row r="23" spans="1:44" s="67" customFormat="1" ht="16.899999999999999" customHeight="1" x14ac:dyDescent="0.25">
      <c r="A23" s="166" t="s">
        <v>5</v>
      </c>
      <c r="B23" s="167"/>
      <c r="C23" s="129"/>
      <c r="D23" s="66">
        <f>D21-D22</f>
        <v>8937.5</v>
      </c>
      <c r="E23" s="66">
        <f t="shared" ref="E23:W23" si="8">E21-E22</f>
        <v>8915.221562499999</v>
      </c>
      <c r="F23" s="66">
        <f t="shared" si="8"/>
        <v>8892.7231319609364</v>
      </c>
      <c r="G23" s="66">
        <f t="shared" si="8"/>
        <v>8870.0025083826331</v>
      </c>
      <c r="H23" s="66">
        <f t="shared" si="8"/>
        <v>8847.0574697649226</v>
      </c>
      <c r="I23" s="66">
        <f t="shared" si="8"/>
        <v>8823.8857718876279</v>
      </c>
      <c r="J23" s="66">
        <f t="shared" si="8"/>
        <v>8800.4851480883717</v>
      </c>
      <c r="K23" s="66">
        <f t="shared" si="8"/>
        <v>8776.8533090381643</v>
      </c>
      <c r="L23" s="66">
        <f t="shared" si="8"/>
        <v>8752.9879425147155</v>
      </c>
      <c r="M23" s="66">
        <f t="shared" si="8"/>
        <v>8728.8867131735242</v>
      </c>
      <c r="N23" s="66">
        <f t="shared" si="8"/>
        <v>8704.5472623166388</v>
      </c>
      <c r="O23" s="66">
        <f t="shared" si="8"/>
        <v>8679.9672076591378</v>
      </c>
      <c r="P23" s="66">
        <f t="shared" si="8"/>
        <v>8655.1441430932391</v>
      </c>
      <c r="Q23" s="66">
        <f t="shared" si="8"/>
        <v>8630.0756384501001</v>
      </c>
      <c r="R23" s="66">
        <f t="shared" si="8"/>
        <v>8604.7592392591814</v>
      </c>
      <c r="S23" s="66">
        <f t="shared" si="8"/>
        <v>8579.1924665052411</v>
      </c>
      <c r="T23" s="66">
        <f t="shared" si="8"/>
        <v>8553.3728163828928</v>
      </c>
      <c r="U23" s="66">
        <f t="shared" si="8"/>
        <v>8527.2977600486884</v>
      </c>
      <c r="V23" s="66">
        <f t="shared" si="8"/>
        <v>8500.9647433707541</v>
      </c>
      <c r="W23" s="66">
        <f t="shared" si="8"/>
        <v>8474.3711866759004</v>
      </c>
      <c r="AA23" s="112"/>
      <c r="AB23" s="112">
        <f t="shared" si="3"/>
        <v>620</v>
      </c>
      <c r="AC23" s="112"/>
      <c r="AD23" s="112"/>
      <c r="AE23" s="112"/>
      <c r="AF23" s="114">
        <f t="shared" si="5"/>
        <v>0.95000000000000029</v>
      </c>
      <c r="AG23" s="112"/>
      <c r="AH23" s="112"/>
      <c r="AI23" s="112"/>
    </row>
    <row r="24" spans="1:44" ht="16.899999999999999" customHeight="1" x14ac:dyDescent="0.25">
      <c r="A24" s="164" t="s">
        <v>84</v>
      </c>
      <c r="B24" s="165"/>
      <c r="C24" s="127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2">
        <f t="shared" si="3"/>
        <v>630</v>
      </c>
      <c r="AF24" s="114">
        <f t="shared" si="5"/>
        <v>1.0000000000000002</v>
      </c>
    </row>
    <row r="25" spans="1:44" s="67" customFormat="1" ht="16.899999999999999" customHeight="1" x14ac:dyDescent="0.25">
      <c r="A25" s="166" t="s">
        <v>6</v>
      </c>
      <c r="B25" s="167"/>
      <c r="C25" s="129"/>
      <c r="D25" s="66">
        <f>D23-D24</f>
        <v>8937.5</v>
      </c>
      <c r="E25" s="66">
        <f t="shared" ref="E25:I25" si="10">E23-E24</f>
        <v>8915.221562499999</v>
      </c>
      <c r="F25" s="66">
        <f t="shared" si="10"/>
        <v>8892.7231319609364</v>
      </c>
      <c r="G25" s="66">
        <f t="shared" si="10"/>
        <v>8870.0025083826331</v>
      </c>
      <c r="H25" s="66">
        <f t="shared" si="10"/>
        <v>8847.0574697649226</v>
      </c>
      <c r="I25" s="66">
        <f t="shared" si="10"/>
        <v>8823.8857718876279</v>
      </c>
      <c r="J25" s="66">
        <f t="shared" ref="J25" si="11">J23-J24</f>
        <v>8800.4851480883717</v>
      </c>
      <c r="K25" s="66">
        <f t="shared" ref="K25" si="12">K23-K24</f>
        <v>8776.8533090381643</v>
      </c>
      <c r="L25" s="66">
        <f t="shared" ref="L25" si="13">L23-L24</f>
        <v>8752.9879425147155</v>
      </c>
      <c r="M25" s="66">
        <f t="shared" ref="M25" si="14">M23-M24</f>
        <v>8728.8867131735242</v>
      </c>
      <c r="N25" s="66">
        <f t="shared" ref="N25" si="15">N23-N24</f>
        <v>8704.5472623166388</v>
      </c>
      <c r="O25" s="66">
        <f t="shared" ref="O25" si="16">O23-O24</f>
        <v>8679.9672076591378</v>
      </c>
      <c r="P25" s="66">
        <f t="shared" ref="P25" si="17">P23-P24</f>
        <v>8655.1441430932391</v>
      </c>
      <c r="Q25" s="66">
        <f t="shared" ref="Q25" si="18">Q23-Q24</f>
        <v>8630.0756384501001</v>
      </c>
      <c r="R25" s="66">
        <f t="shared" ref="R25" si="19">R23-R24</f>
        <v>8604.7592392591814</v>
      </c>
      <c r="S25" s="66">
        <f t="shared" ref="S25" si="20">S23-S24</f>
        <v>8579.1924665052411</v>
      </c>
      <c r="T25" s="66">
        <f t="shared" ref="T25" si="21">T23-T24</f>
        <v>8553.3728163828928</v>
      </c>
      <c r="U25" s="66">
        <f t="shared" ref="U25" si="22">U23-U24</f>
        <v>8527.2977600486884</v>
      </c>
      <c r="V25" s="66">
        <f t="shared" ref="V25" si="23">V23-V24</f>
        <v>8500.9647433707541</v>
      </c>
      <c r="W25" s="66">
        <f t="shared" ref="W25" si="24">W23-W24</f>
        <v>8474.3711866759004</v>
      </c>
      <c r="AA25" s="112"/>
      <c r="AB25" s="112">
        <f t="shared" si="3"/>
        <v>640</v>
      </c>
      <c r="AC25" s="112"/>
      <c r="AD25" s="112"/>
      <c r="AE25" s="112"/>
      <c r="AF25" s="114"/>
      <c r="AG25" s="112"/>
      <c r="AH25" s="112"/>
      <c r="AI25" s="112"/>
    </row>
    <row r="26" spans="1:44" ht="16.899999999999999" customHeight="1" x14ac:dyDescent="0.25">
      <c r="A26" s="164" t="s">
        <v>7</v>
      </c>
      <c r="B26" s="165"/>
      <c r="C26" s="127"/>
      <c r="D26" s="60">
        <f>($C$11-$M$14)/20</f>
        <v>7500</v>
      </c>
      <c r="E26" s="60">
        <f t="shared" ref="E26:W26" si="25">($C$11-$M$14)/20</f>
        <v>7500</v>
      </c>
      <c r="F26" s="60">
        <f t="shared" si="25"/>
        <v>7500</v>
      </c>
      <c r="G26" s="60">
        <f t="shared" si="25"/>
        <v>7500</v>
      </c>
      <c r="H26" s="60">
        <f t="shared" si="25"/>
        <v>7500</v>
      </c>
      <c r="I26" s="60">
        <f t="shared" si="25"/>
        <v>7500</v>
      </c>
      <c r="J26" s="60">
        <f t="shared" si="25"/>
        <v>7500</v>
      </c>
      <c r="K26" s="60">
        <f t="shared" si="25"/>
        <v>7500</v>
      </c>
      <c r="L26" s="60">
        <f t="shared" si="25"/>
        <v>7500</v>
      </c>
      <c r="M26" s="60">
        <f t="shared" si="25"/>
        <v>7500</v>
      </c>
      <c r="N26" s="60">
        <f t="shared" si="25"/>
        <v>7500</v>
      </c>
      <c r="O26" s="60">
        <f t="shared" si="25"/>
        <v>7500</v>
      </c>
      <c r="P26" s="60">
        <f t="shared" si="25"/>
        <v>7500</v>
      </c>
      <c r="Q26" s="60">
        <f t="shared" si="25"/>
        <v>7500</v>
      </c>
      <c r="R26" s="60">
        <f t="shared" si="25"/>
        <v>7500</v>
      </c>
      <c r="S26" s="60">
        <f t="shared" si="25"/>
        <v>7500</v>
      </c>
      <c r="T26" s="60">
        <f t="shared" si="25"/>
        <v>7500</v>
      </c>
      <c r="U26" s="60">
        <f t="shared" si="25"/>
        <v>7500</v>
      </c>
      <c r="V26" s="60">
        <f t="shared" si="25"/>
        <v>7500</v>
      </c>
      <c r="W26" s="60">
        <f t="shared" si="25"/>
        <v>7500</v>
      </c>
      <c r="AB26" s="112">
        <f t="shared" si="3"/>
        <v>650</v>
      </c>
      <c r="AF26" s="114"/>
    </row>
    <row r="27" spans="1:44" ht="15" x14ac:dyDescent="0.25">
      <c r="A27" s="165" t="s">
        <v>8</v>
      </c>
      <c r="B27" s="168"/>
      <c r="C27" s="128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2">
        <f t="shared" si="3"/>
        <v>660</v>
      </c>
      <c r="AF27" s="114"/>
    </row>
    <row r="28" spans="1:44" s="67" customFormat="1" ht="16.899999999999999" customHeight="1" x14ac:dyDescent="0.25">
      <c r="A28" s="166" t="s">
        <v>9</v>
      </c>
      <c r="B28" s="167"/>
      <c r="C28" s="129"/>
      <c r="D28" s="66">
        <f t="shared" ref="D28:W28" si="26">D25-D26-D27</f>
        <v>1437.5</v>
      </c>
      <c r="E28" s="66">
        <f t="shared" si="26"/>
        <v>1415.221562499999</v>
      </c>
      <c r="F28" s="66">
        <f t="shared" si="26"/>
        <v>1392.7231319609364</v>
      </c>
      <c r="G28" s="66">
        <f t="shared" si="26"/>
        <v>1370.0025083826331</v>
      </c>
      <c r="H28" s="66">
        <f t="shared" si="26"/>
        <v>1347.0574697649226</v>
      </c>
      <c r="I28" s="66">
        <f t="shared" si="26"/>
        <v>1323.8857718876279</v>
      </c>
      <c r="J28" s="66">
        <f t="shared" si="26"/>
        <v>1300.4851480883717</v>
      </c>
      <c r="K28" s="66">
        <f t="shared" si="26"/>
        <v>1276.8533090381643</v>
      </c>
      <c r="L28" s="66">
        <f t="shared" si="26"/>
        <v>1252.9879425147155</v>
      </c>
      <c r="M28" s="66">
        <f t="shared" si="26"/>
        <v>1228.8867131735242</v>
      </c>
      <c r="N28" s="66">
        <f t="shared" si="26"/>
        <v>1204.5472623166388</v>
      </c>
      <c r="O28" s="66">
        <f t="shared" si="26"/>
        <v>1179.9672076591378</v>
      </c>
      <c r="P28" s="66">
        <f t="shared" si="26"/>
        <v>1155.1441430932391</v>
      </c>
      <c r="Q28" s="66">
        <f t="shared" si="26"/>
        <v>1130.0756384501001</v>
      </c>
      <c r="R28" s="66">
        <f t="shared" si="26"/>
        <v>1104.7592392591814</v>
      </c>
      <c r="S28" s="66">
        <f t="shared" si="26"/>
        <v>1079.1924665052411</v>
      </c>
      <c r="T28" s="66">
        <f t="shared" si="26"/>
        <v>1053.3728163828928</v>
      </c>
      <c r="U28" s="66">
        <f t="shared" si="26"/>
        <v>1027.2977600486884</v>
      </c>
      <c r="V28" s="66">
        <f t="shared" si="26"/>
        <v>1000.9647433707541</v>
      </c>
      <c r="W28" s="66">
        <f t="shared" si="26"/>
        <v>974.37118667590039</v>
      </c>
      <c r="AA28" s="112"/>
      <c r="AB28" s="112">
        <f t="shared" si="3"/>
        <v>670</v>
      </c>
      <c r="AC28" s="112"/>
      <c r="AD28" s="112"/>
      <c r="AE28" s="112"/>
      <c r="AF28" s="114"/>
      <c r="AG28" s="112"/>
      <c r="AH28" s="112"/>
      <c r="AI28" s="112"/>
    </row>
    <row r="29" spans="1:44" ht="16.899999999999999" customHeight="1" x14ac:dyDescent="0.25">
      <c r="A29" s="173" t="s">
        <v>13</v>
      </c>
      <c r="B29" s="174"/>
      <c r="C29" s="126"/>
      <c r="D29" s="60">
        <f t="shared" ref="D29:W29" si="27">IF(D20&lt;=$M$13,-IPMT($M$12,D20,$M$13,$M$11),0)</f>
        <v>265.5</v>
      </c>
      <c r="E29" s="60">
        <f t="shared" si="27"/>
        <v>240.00761471219613</v>
      </c>
      <c r="F29" s="60">
        <f t="shared" si="27"/>
        <v>214.28579795680216</v>
      </c>
      <c r="G29" s="60">
        <f t="shared" si="27"/>
        <v>188.33248485060957</v>
      </c>
      <c r="H29" s="60">
        <f t="shared" si="27"/>
        <v>162.14559192646124</v>
      </c>
      <c r="I29" s="60">
        <f t="shared" si="27"/>
        <v>135.72301696599561</v>
      </c>
      <c r="J29" s="60">
        <f t="shared" si="27"/>
        <v>109.06263883088575</v>
      </c>
      <c r="K29" s="60">
        <f t="shared" si="27"/>
        <v>82.162317292559919</v>
      </c>
      <c r="L29" s="60">
        <f t="shared" si="27"/>
        <v>55.019892860389156</v>
      </c>
      <c r="M29" s="60">
        <f t="shared" si="27"/>
        <v>27.633186608328849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2">
        <f t="shared" si="3"/>
        <v>680</v>
      </c>
      <c r="AF29" s="114"/>
    </row>
    <row r="30" spans="1:44" ht="15" x14ac:dyDescent="0.25">
      <c r="A30" s="164" t="s">
        <v>64</v>
      </c>
      <c r="B30" s="165"/>
      <c r="C30" s="127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2">
        <f t="shared" si="3"/>
        <v>690</v>
      </c>
      <c r="AF30" s="114"/>
    </row>
    <row r="31" spans="1:44" s="67" customFormat="1" ht="16.899999999999999" customHeight="1" x14ac:dyDescent="0.25">
      <c r="A31" s="166" t="s">
        <v>10</v>
      </c>
      <c r="B31" s="167"/>
      <c r="C31" s="129"/>
      <c r="D31" s="66">
        <f t="shared" ref="D31:W31" si="29">D28-D29-D30</f>
        <v>1172</v>
      </c>
      <c r="E31" s="66">
        <f t="shared" si="29"/>
        <v>1175.2139477878029</v>
      </c>
      <c r="F31" s="66">
        <f t="shared" si="29"/>
        <v>1178.4373340041343</v>
      </c>
      <c r="G31" s="66">
        <f t="shared" si="29"/>
        <v>1181.6700235320236</v>
      </c>
      <c r="H31" s="66">
        <f t="shared" si="29"/>
        <v>1184.9118778384614</v>
      </c>
      <c r="I31" s="66">
        <f t="shared" si="29"/>
        <v>1188.1627549216323</v>
      </c>
      <c r="J31" s="66">
        <f t="shared" si="29"/>
        <v>1191.4225092574859</v>
      </c>
      <c r="K31" s="66">
        <f t="shared" si="29"/>
        <v>1194.6909917456044</v>
      </c>
      <c r="L31" s="66">
        <f t="shared" si="29"/>
        <v>1197.9680496543265</v>
      </c>
      <c r="M31" s="66">
        <f t="shared" si="29"/>
        <v>1201.2535265651954</v>
      </c>
      <c r="N31" s="66">
        <f t="shared" si="29"/>
        <v>1204.5472623166388</v>
      </c>
      <c r="O31" s="66">
        <f t="shared" si="29"/>
        <v>1179.9672076591378</v>
      </c>
      <c r="P31" s="66">
        <f t="shared" si="29"/>
        <v>1155.1441430932391</v>
      </c>
      <c r="Q31" s="66">
        <f t="shared" si="29"/>
        <v>1130.0756384501001</v>
      </c>
      <c r="R31" s="66">
        <f t="shared" si="29"/>
        <v>1104.7592392591814</v>
      </c>
      <c r="S31" s="66">
        <f t="shared" si="29"/>
        <v>1079.1924665052411</v>
      </c>
      <c r="T31" s="66">
        <f t="shared" si="29"/>
        <v>1053.3728163828928</v>
      </c>
      <c r="U31" s="66">
        <f t="shared" si="29"/>
        <v>1027.2977600486884</v>
      </c>
      <c r="V31" s="66">
        <f t="shared" si="29"/>
        <v>1000.9647433707541</v>
      </c>
      <c r="W31" s="66">
        <f t="shared" si="29"/>
        <v>974.37118667590039</v>
      </c>
      <c r="AA31" s="112"/>
      <c r="AB31" s="112">
        <f t="shared" si="3"/>
        <v>700</v>
      </c>
      <c r="AC31" s="112"/>
      <c r="AD31" s="112"/>
      <c r="AE31" s="112"/>
      <c r="AF31" s="114"/>
      <c r="AG31" s="112"/>
      <c r="AH31" s="112"/>
      <c r="AI31" s="112"/>
    </row>
    <row r="32" spans="1:44" ht="15" x14ac:dyDescent="0.25">
      <c r="A32" s="164" t="s">
        <v>47</v>
      </c>
      <c r="B32" s="165"/>
      <c r="C32" s="127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2">
        <f t="shared" si="3"/>
        <v>710</v>
      </c>
      <c r="AF32" s="114"/>
    </row>
    <row r="33" spans="1:35" ht="15" x14ac:dyDescent="0.25">
      <c r="A33" s="164" t="s">
        <v>82</v>
      </c>
      <c r="B33" s="165"/>
      <c r="C33" s="127"/>
      <c r="D33" s="60">
        <f>IF(D31&lt;0,0,IF(D31&lt;38120,IF(B4="SAS",0.15*D31,0.15*D31*(1-I11)),IF(B4="SAS",0.33*D31,0.33*D31*(1-I11))))</f>
        <v>74.715000000000003</v>
      </c>
      <c r="E33" s="60">
        <f>IF(E31+D32&lt;0,0,IF(E31&lt;38120,IF($B$4="SAS",0.15*(E31+D32),0.15*(E31+D32)*(1-$I$11)),IF($B$4="SAS",0.33*(E31+D32),0.33*(1-$I$11)*(E31+D32))))</f>
        <v>74.919889171472448</v>
      </c>
      <c r="F33" s="60">
        <f>IF(F31+E32&lt;0,0,IF(F31&lt;38120,IF($B$4="SAS",0.15*(F31+E32),0.15*(F31+E32)*(1-$I$11)),IF($B$4="SAS",0.33*(F31+E32),0.33*(1-$I$11)*(F31+E32))))</f>
        <v>75.125380042763567</v>
      </c>
      <c r="G33" s="60">
        <f t="shared" ref="G33:W33" si="41">IF(G31+F32&lt;0,0,IF(G31&lt;38120,IF($B$4="SAS",0.15*(G31+F32),0.15*(G31+F32)*(1-$I$12)),IF($B$4="SAS",0.33*(G31+F32),0.33*(1-$I$12)*(G31+F32))))</f>
        <v>75.331464000166505</v>
      </c>
      <c r="H33" s="60">
        <f t="shared" si="41"/>
        <v>75.538132212201916</v>
      </c>
      <c r="I33" s="60">
        <f t="shared" si="41"/>
        <v>75.745375626254059</v>
      </c>
      <c r="J33" s="60">
        <f t="shared" si="41"/>
        <v>75.953184965164738</v>
      </c>
      <c r="K33" s="60">
        <f t="shared" si="41"/>
        <v>76.161550723782284</v>
      </c>
      <c r="L33" s="60">
        <f t="shared" si="41"/>
        <v>76.37046316546332</v>
      </c>
      <c r="M33" s="60">
        <f t="shared" si="41"/>
        <v>76.579912318531214</v>
      </c>
      <c r="N33" s="60">
        <f t="shared" si="41"/>
        <v>76.789887972685719</v>
      </c>
      <c r="O33" s="60">
        <f t="shared" si="41"/>
        <v>75.222909488270048</v>
      </c>
      <c r="P33" s="60">
        <f t="shared" si="41"/>
        <v>73.640439122193996</v>
      </c>
      <c r="Q33" s="60">
        <f t="shared" si="41"/>
        <v>72.042321951193884</v>
      </c>
      <c r="R33" s="60">
        <f t="shared" si="41"/>
        <v>70.428401502772815</v>
      </c>
      <c r="S33" s="60">
        <f t="shared" si="41"/>
        <v>68.798519739709121</v>
      </c>
      <c r="T33" s="60">
        <f t="shared" si="41"/>
        <v>67.152517044409421</v>
      </c>
      <c r="U33" s="60">
        <f t="shared" si="41"/>
        <v>65.490232203103886</v>
      </c>
      <c r="V33" s="60">
        <f t="shared" si="41"/>
        <v>63.811502389885582</v>
      </c>
      <c r="W33" s="60">
        <f t="shared" si="41"/>
        <v>62.116163150588648</v>
      </c>
      <c r="AB33" s="112">
        <f t="shared" si="3"/>
        <v>720</v>
      </c>
      <c r="AF33" s="114"/>
    </row>
    <row r="34" spans="1:35" s="67" customFormat="1" ht="16.899999999999999" customHeight="1" x14ac:dyDescent="0.25">
      <c r="A34" s="166" t="s">
        <v>11</v>
      </c>
      <c r="B34" s="167"/>
      <c r="C34" s="129"/>
      <c r="D34" s="66">
        <f t="shared" ref="D34:W34" si="42">D31-D33</f>
        <v>1097.2850000000001</v>
      </c>
      <c r="E34" s="66">
        <f t="shared" si="42"/>
        <v>1100.2940586163304</v>
      </c>
      <c r="F34" s="66">
        <f t="shared" si="42"/>
        <v>1103.3119539613708</v>
      </c>
      <c r="G34" s="66">
        <f t="shared" si="42"/>
        <v>1106.3385595318571</v>
      </c>
      <c r="H34" s="66">
        <f t="shared" si="42"/>
        <v>1109.3737456262595</v>
      </c>
      <c r="I34" s="66">
        <f t="shared" si="42"/>
        <v>1112.4173792953782</v>
      </c>
      <c r="J34" s="66">
        <f t="shared" si="42"/>
        <v>1115.4693242923211</v>
      </c>
      <c r="K34" s="66">
        <f t="shared" si="42"/>
        <v>1118.5294410218221</v>
      </c>
      <c r="L34" s="66">
        <f t="shared" si="42"/>
        <v>1121.5975864888633</v>
      </c>
      <c r="M34" s="66">
        <f t="shared" si="42"/>
        <v>1124.6736142466643</v>
      </c>
      <c r="N34" s="66">
        <f t="shared" si="42"/>
        <v>1127.7573743439532</v>
      </c>
      <c r="O34" s="66">
        <f t="shared" si="42"/>
        <v>1104.7442981708678</v>
      </c>
      <c r="P34" s="66">
        <f t="shared" si="42"/>
        <v>1081.5037039710451</v>
      </c>
      <c r="Q34" s="66">
        <f t="shared" si="42"/>
        <v>1058.0333164989063</v>
      </c>
      <c r="R34" s="66">
        <f t="shared" si="42"/>
        <v>1034.3308377564085</v>
      </c>
      <c r="S34" s="66">
        <f t="shared" si="42"/>
        <v>1010.393946765532</v>
      </c>
      <c r="T34" s="66">
        <f t="shared" si="42"/>
        <v>986.2202993384833</v>
      </c>
      <c r="U34" s="66">
        <f t="shared" si="42"/>
        <v>961.80752784558445</v>
      </c>
      <c r="V34" s="66">
        <f t="shared" si="42"/>
        <v>937.15324098086853</v>
      </c>
      <c r="W34" s="66">
        <f t="shared" si="42"/>
        <v>912.2550235253118</v>
      </c>
      <c r="X34" s="156"/>
      <c r="AA34" s="112"/>
      <c r="AB34" s="112">
        <f t="shared" si="3"/>
        <v>730</v>
      </c>
      <c r="AC34" s="112"/>
      <c r="AD34" s="112"/>
      <c r="AE34" s="112"/>
      <c r="AF34" s="114"/>
      <c r="AG34" s="112"/>
      <c r="AH34" s="112"/>
      <c r="AI34" s="112"/>
    </row>
    <row r="35" spans="1:35" s="70" customFormat="1" ht="16.899999999999999" customHeight="1" x14ac:dyDescent="0.25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8"/>
      <c r="AB35" s="112">
        <f t="shared" si="3"/>
        <v>740</v>
      </c>
      <c r="AC35" s="118"/>
      <c r="AD35" s="118"/>
      <c r="AE35" s="118"/>
      <c r="AF35" s="118"/>
      <c r="AG35" s="118"/>
      <c r="AH35" s="118"/>
      <c r="AI35" s="118"/>
    </row>
    <row r="36" spans="1:35" ht="16.899999999999999" customHeight="1" x14ac:dyDescent="0.25">
      <c r="A36" s="164" t="s">
        <v>32</v>
      </c>
      <c r="B36" s="165"/>
      <c r="C36" s="127"/>
      <c r="D36" s="60">
        <f t="shared" ref="D36:W36" si="43">D34+D27+D26</f>
        <v>8597.2849999999999</v>
      </c>
      <c r="E36" s="60">
        <f t="shared" si="43"/>
        <v>8600.2940586163313</v>
      </c>
      <c r="F36" s="60">
        <f t="shared" si="43"/>
        <v>8603.3119539613708</v>
      </c>
      <c r="G36" s="60">
        <f t="shared" si="43"/>
        <v>8606.3385595318578</v>
      </c>
      <c r="H36" s="60">
        <f t="shared" si="43"/>
        <v>8609.3737456262588</v>
      </c>
      <c r="I36" s="60">
        <f t="shared" si="43"/>
        <v>8612.4173792953789</v>
      </c>
      <c r="J36" s="60">
        <f t="shared" si="43"/>
        <v>8615.4693242923204</v>
      </c>
      <c r="K36" s="60">
        <f t="shared" si="43"/>
        <v>8618.529441021823</v>
      </c>
      <c r="L36" s="60">
        <f t="shared" si="43"/>
        <v>8621.5975864888642</v>
      </c>
      <c r="M36" s="60">
        <f t="shared" si="43"/>
        <v>8624.6736142466652</v>
      </c>
      <c r="N36" s="60">
        <f t="shared" si="43"/>
        <v>8627.7573743439534</v>
      </c>
      <c r="O36" s="60">
        <f t="shared" si="43"/>
        <v>8604.7442981708682</v>
      </c>
      <c r="P36" s="60">
        <f t="shared" si="43"/>
        <v>8581.5037039710442</v>
      </c>
      <c r="Q36" s="60">
        <f t="shared" si="43"/>
        <v>8558.0333164989061</v>
      </c>
      <c r="R36" s="60">
        <f t="shared" si="43"/>
        <v>8534.3308377564081</v>
      </c>
      <c r="S36" s="60">
        <f t="shared" si="43"/>
        <v>8510.3939467655327</v>
      </c>
      <c r="T36" s="60">
        <f t="shared" si="43"/>
        <v>8486.2202993384835</v>
      </c>
      <c r="U36" s="60">
        <f t="shared" si="43"/>
        <v>8461.8075278455835</v>
      </c>
      <c r="V36" s="60">
        <f t="shared" si="43"/>
        <v>8437.1532409808678</v>
      </c>
      <c r="W36" s="60">
        <f t="shared" si="43"/>
        <v>8412.2550235253111</v>
      </c>
      <c r="AB36" s="112">
        <f t="shared" si="3"/>
        <v>750</v>
      </c>
      <c r="AF36" s="114"/>
    </row>
    <row r="37" spans="1:35" ht="15" x14ac:dyDescent="0.25">
      <c r="A37" s="165" t="s">
        <v>21</v>
      </c>
      <c r="B37" s="168"/>
      <c r="C37" s="133">
        <f>-C11+M14</f>
        <v>-150000</v>
      </c>
      <c r="D37" s="60">
        <f>D36+D30+D29</f>
        <v>8862.7849999999999</v>
      </c>
      <c r="E37" s="60">
        <f>E36+E30+E29</f>
        <v>8840.3016733285276</v>
      </c>
      <c r="F37" s="60">
        <f t="shared" ref="F37:W37" si="44">F36+F30+F29</f>
        <v>8817.5977519181724</v>
      </c>
      <c r="G37" s="60">
        <f t="shared" si="44"/>
        <v>8794.6710443824668</v>
      </c>
      <c r="H37" s="60">
        <f t="shared" si="44"/>
        <v>8771.5193375527197</v>
      </c>
      <c r="I37" s="60">
        <f t="shared" si="44"/>
        <v>8748.1403962613749</v>
      </c>
      <c r="J37" s="60">
        <f t="shared" si="44"/>
        <v>8724.5319631232069</v>
      </c>
      <c r="K37" s="60">
        <f t="shared" si="44"/>
        <v>8700.6917583143822</v>
      </c>
      <c r="L37" s="60">
        <f t="shared" si="44"/>
        <v>8676.6174793492537</v>
      </c>
      <c r="M37" s="60">
        <f t="shared" si="44"/>
        <v>8652.3068008549944</v>
      </c>
      <c r="N37" s="60">
        <f t="shared" si="44"/>
        <v>8627.7573743439534</v>
      </c>
      <c r="O37" s="60">
        <f t="shared" si="44"/>
        <v>8604.7442981708682</v>
      </c>
      <c r="P37" s="60">
        <f t="shared" si="44"/>
        <v>8581.5037039710442</v>
      </c>
      <c r="Q37" s="60">
        <f t="shared" si="44"/>
        <v>8558.0333164989061</v>
      </c>
      <c r="R37" s="60">
        <f t="shared" si="44"/>
        <v>8534.3308377564081</v>
      </c>
      <c r="S37" s="60">
        <f t="shared" si="44"/>
        <v>8510.3939467655327</v>
      </c>
      <c r="T37" s="60">
        <f t="shared" si="44"/>
        <v>8486.2202993384835</v>
      </c>
      <c r="U37" s="60">
        <f t="shared" si="44"/>
        <v>8461.8075278455835</v>
      </c>
      <c r="V37" s="60">
        <f t="shared" si="44"/>
        <v>8437.1532409808678</v>
      </c>
      <c r="W37" s="60">
        <f t="shared" si="44"/>
        <v>8412.2550235253111</v>
      </c>
      <c r="AB37" s="112">
        <f t="shared" si="3"/>
        <v>760</v>
      </c>
      <c r="AF37" s="114"/>
    </row>
    <row r="38" spans="1:35" ht="15" x14ac:dyDescent="0.25">
      <c r="A38" s="169" t="s">
        <v>174</v>
      </c>
      <c r="B38" s="169"/>
      <c r="C38" s="135">
        <f>-M8-Q8</f>
        <v>-122000</v>
      </c>
      <c r="D38" s="60">
        <f>D36</f>
        <v>8597.2849999999999</v>
      </c>
      <c r="E38" s="60">
        <f t="shared" ref="E38:W38" si="45">E36</f>
        <v>8600.2940586163313</v>
      </c>
      <c r="F38" s="60">
        <f t="shared" si="45"/>
        <v>8603.3119539613708</v>
      </c>
      <c r="G38" s="60">
        <f t="shared" si="45"/>
        <v>8606.3385595318578</v>
      </c>
      <c r="H38" s="60">
        <f t="shared" si="45"/>
        <v>8609.3737456262588</v>
      </c>
      <c r="I38" s="60">
        <f t="shared" si="45"/>
        <v>8612.4173792953789</v>
      </c>
      <c r="J38" s="60">
        <f t="shared" si="45"/>
        <v>8615.4693242923204</v>
      </c>
      <c r="K38" s="60">
        <f t="shared" si="45"/>
        <v>8618.529441021823</v>
      </c>
      <c r="L38" s="60">
        <f t="shared" si="45"/>
        <v>8621.5975864888642</v>
      </c>
      <c r="M38" s="60">
        <f t="shared" si="45"/>
        <v>8624.6736142466652</v>
      </c>
      <c r="N38" s="60">
        <f t="shared" si="45"/>
        <v>8627.7573743439534</v>
      </c>
      <c r="O38" s="60">
        <f t="shared" si="45"/>
        <v>8604.7442981708682</v>
      </c>
      <c r="P38" s="60">
        <f t="shared" si="45"/>
        <v>8581.5037039710442</v>
      </c>
      <c r="Q38" s="60">
        <f t="shared" si="45"/>
        <v>8558.0333164989061</v>
      </c>
      <c r="R38" s="60">
        <f t="shared" si="45"/>
        <v>8534.3308377564081</v>
      </c>
      <c r="S38" s="60">
        <f t="shared" si="45"/>
        <v>8510.3939467655327</v>
      </c>
      <c r="T38" s="60">
        <f t="shared" si="45"/>
        <v>8486.2202993384835</v>
      </c>
      <c r="U38" s="60">
        <f t="shared" si="45"/>
        <v>8461.8075278455835</v>
      </c>
      <c r="V38" s="60">
        <f t="shared" si="45"/>
        <v>8437.1532409808678</v>
      </c>
      <c r="W38" s="60">
        <f t="shared" si="45"/>
        <v>8412.2550235253111</v>
      </c>
      <c r="AB38" s="112">
        <f t="shared" si="3"/>
        <v>770</v>
      </c>
      <c r="AF38" s="114"/>
    </row>
    <row r="39" spans="1:35" ht="16.899999999999999" customHeight="1" x14ac:dyDescent="0.25">
      <c r="A39" s="164" t="s">
        <v>15</v>
      </c>
      <c r="B39" s="165"/>
      <c r="C39" s="127"/>
      <c r="D39" s="60">
        <f t="shared" ref="D39:W39" si="46">D36*(1+taux_actu)^-(D20-1)</f>
        <v>8597.2849999999999</v>
      </c>
      <c r="E39" s="60">
        <f t="shared" si="46"/>
        <v>8349.80005690906</v>
      </c>
      <c r="F39" s="60">
        <f t="shared" si="46"/>
        <v>8109.4466528055145</v>
      </c>
      <c r="G39" s="60">
        <f t="shared" si="46"/>
        <v>7876.0189503250658</v>
      </c>
      <c r="H39" s="60">
        <f t="shared" si="46"/>
        <v>7649.3170636543127</v>
      </c>
      <c r="I39" s="60">
        <f t="shared" si="46"/>
        <v>7429.1468861630356</v>
      </c>
      <c r="J39" s="60">
        <f t="shared" si="46"/>
        <v>7215.3199230357804</v>
      </c>
      <c r="K39" s="60">
        <f t="shared" si="46"/>
        <v>7007.6531287576245</v>
      </c>
      <c r="L39" s="60">
        <f t="shared" si="46"/>
        <v>6805.9687493130505</v>
      </c>
      <c r="M39" s="60">
        <f t="shared" si="46"/>
        <v>6610.0941689612282</v>
      </c>
      <c r="N39" s="60">
        <f t="shared" si="46"/>
        <v>6419.8617614546829</v>
      </c>
      <c r="O39" s="60">
        <f t="shared" si="46"/>
        <v>6216.2503606905193</v>
      </c>
      <c r="P39" s="60">
        <f t="shared" si="46"/>
        <v>6018.8940397667675</v>
      </c>
      <c r="Q39" s="60">
        <f t="shared" si="46"/>
        <v>5827.6042545761902</v>
      </c>
      <c r="R39" s="60">
        <f t="shared" si="46"/>
        <v>5642.1980775876946</v>
      </c>
      <c r="S39" s="60">
        <f t="shared" si="46"/>
        <v>5462.4980317841628</v>
      </c>
      <c r="T39" s="60">
        <f t="shared" si="46"/>
        <v>5288.331929486365</v>
      </c>
      <c r="U39" s="60">
        <f t="shared" si="46"/>
        <v>5119.532715919665</v>
      </c>
      <c r="V39" s="60">
        <f t="shared" si="46"/>
        <v>4955.9383173844044</v>
      </c>
      <c r="W39" s="60">
        <f t="shared" si="46"/>
        <v>4797.3914938949065</v>
      </c>
      <c r="AB39" s="112">
        <f t="shared" si="3"/>
        <v>780</v>
      </c>
      <c r="AF39" s="114"/>
    </row>
    <row r="40" spans="1:35" s="67" customFormat="1" ht="16.899999999999999" customHeight="1" x14ac:dyDescent="0.25">
      <c r="A40" s="166" t="s">
        <v>16</v>
      </c>
      <c r="B40" s="167"/>
      <c r="C40" s="136">
        <f>-C11+M14</f>
        <v>-150000</v>
      </c>
      <c r="D40" s="66">
        <f>D39+C40</f>
        <v>-141402.715</v>
      </c>
      <c r="E40" s="66">
        <f>D40+E39</f>
        <v>-133052.91494309093</v>
      </c>
      <c r="F40" s="66">
        <f t="shared" ref="F40:V40" si="47">E40+F39</f>
        <v>-124943.46829028541</v>
      </c>
      <c r="G40" s="66">
        <f t="shared" si="47"/>
        <v>-117067.44933996035</v>
      </c>
      <c r="H40" s="66">
        <f t="shared" si="47"/>
        <v>-109418.13227630605</v>
      </c>
      <c r="I40" s="66">
        <f t="shared" si="47"/>
        <v>-101988.985390143</v>
      </c>
      <c r="J40" s="66">
        <f t="shared" si="47"/>
        <v>-94773.665467107217</v>
      </c>
      <c r="K40" s="66">
        <f t="shared" si="47"/>
        <v>-87766.012338349596</v>
      </c>
      <c r="L40" s="66">
        <f t="shared" si="47"/>
        <v>-80960.043589036548</v>
      </c>
      <c r="M40" s="66">
        <f t="shared" si="47"/>
        <v>-74349.949420075325</v>
      </c>
      <c r="N40" s="66">
        <f t="shared" si="47"/>
        <v>-67930.087658620643</v>
      </c>
      <c r="O40" s="66">
        <f t="shared" si="47"/>
        <v>-61713.83729793012</v>
      </c>
      <c r="P40" s="66">
        <f t="shared" si="47"/>
        <v>-55694.943258163352</v>
      </c>
      <c r="Q40" s="66">
        <f t="shared" si="47"/>
        <v>-49867.339003587163</v>
      </c>
      <c r="R40" s="66">
        <f t="shared" si="47"/>
        <v>-44225.140925999469</v>
      </c>
      <c r="S40" s="66">
        <f t="shared" si="47"/>
        <v>-38762.642894215307</v>
      </c>
      <c r="T40" s="66">
        <f t="shared" si="47"/>
        <v>-33474.310964728938</v>
      </c>
      <c r="U40" s="66">
        <f t="shared" si="47"/>
        <v>-28354.778248809274</v>
      </c>
      <c r="V40" s="66">
        <f t="shared" si="47"/>
        <v>-23398.839931424871</v>
      </c>
      <c r="W40" s="66">
        <f>V40+W39</f>
        <v>-18601.448437529965</v>
      </c>
      <c r="AA40" s="112"/>
      <c r="AB40" s="112">
        <f t="shared" si="3"/>
        <v>790</v>
      </c>
      <c r="AC40" s="112"/>
      <c r="AD40" s="112"/>
      <c r="AE40" s="112"/>
      <c r="AF40" s="114"/>
      <c r="AG40" s="112"/>
      <c r="AH40" s="112"/>
      <c r="AI40" s="112"/>
    </row>
    <row r="41" spans="1:35" ht="16.899999999999999" customHeight="1" x14ac:dyDescent="0.25">
      <c r="AB41" s="112">
        <f>AB40+10</f>
        <v>800</v>
      </c>
    </row>
    <row r="42" spans="1:35" ht="15" x14ac:dyDescent="0.25">
      <c r="A42" s="164" t="s">
        <v>33</v>
      </c>
      <c r="B42" s="165"/>
      <c r="C42" s="127"/>
      <c r="D42" s="60">
        <f t="shared" ref="D42:W42" si="48">IF(D20&lt;4,IF(D31&lt;0,0,$I$11*D31),$I$12*D31)</f>
        <v>673.9</v>
      </c>
      <c r="E42" s="60">
        <f t="shared" si="48"/>
        <v>675.74801997798659</v>
      </c>
      <c r="F42" s="60">
        <f t="shared" si="48"/>
        <v>677.60146705237719</v>
      </c>
      <c r="G42" s="60">
        <f t="shared" si="48"/>
        <v>679.46026353091349</v>
      </c>
      <c r="H42" s="60">
        <f t="shared" si="48"/>
        <v>681.32432975711527</v>
      </c>
      <c r="I42" s="60">
        <f t="shared" si="48"/>
        <v>683.19358407993855</v>
      </c>
      <c r="J42" s="60">
        <f t="shared" si="48"/>
        <v>685.0679428230543</v>
      </c>
      <c r="K42" s="60">
        <f t="shared" si="48"/>
        <v>686.94732025372241</v>
      </c>
      <c r="L42" s="60">
        <f t="shared" si="48"/>
        <v>688.83162855123771</v>
      </c>
      <c r="M42" s="60">
        <f t="shared" si="48"/>
        <v>690.72077777498737</v>
      </c>
      <c r="N42" s="60">
        <f t="shared" si="48"/>
        <v>692.61467583206729</v>
      </c>
      <c r="O42" s="60">
        <f t="shared" si="48"/>
        <v>678.48114440400423</v>
      </c>
      <c r="P42" s="60">
        <f t="shared" si="48"/>
        <v>664.20788227861249</v>
      </c>
      <c r="Q42" s="60">
        <f t="shared" si="48"/>
        <v>649.79349210880753</v>
      </c>
      <c r="R42" s="60">
        <f t="shared" si="48"/>
        <v>635.23656257402922</v>
      </c>
      <c r="S42" s="60">
        <f t="shared" si="48"/>
        <v>620.53566824051359</v>
      </c>
      <c r="T42" s="60">
        <f t="shared" si="48"/>
        <v>605.6893694201633</v>
      </c>
      <c r="U42" s="60">
        <f t="shared" si="48"/>
        <v>590.69621202799578</v>
      </c>
      <c r="V42" s="60">
        <f t="shared" si="48"/>
        <v>575.55472743818359</v>
      </c>
      <c r="W42" s="60">
        <f t="shared" si="48"/>
        <v>560.2634323386427</v>
      </c>
      <c r="AB42" s="112">
        <f>AB41+8</f>
        <v>808</v>
      </c>
      <c r="AF42" s="114"/>
    </row>
    <row r="43" spans="1:35" ht="15" x14ac:dyDescent="0.25">
      <c r="A43" s="164" t="s">
        <v>48</v>
      </c>
      <c r="B43" s="165"/>
      <c r="C43" s="127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426.87829600094358</v>
      </c>
      <c r="H43" s="60">
        <f t="shared" si="49"/>
        <v>428.04941586914424</v>
      </c>
      <c r="I43" s="60">
        <f t="shared" si="49"/>
        <v>429.22379521543962</v>
      </c>
      <c r="J43" s="60">
        <f t="shared" si="49"/>
        <v>430.40138146926677</v>
      </c>
      <c r="K43" s="60">
        <f t="shared" si="49"/>
        <v>431.58212076809968</v>
      </c>
      <c r="L43" s="60">
        <f t="shared" si="49"/>
        <v>432.76595793762556</v>
      </c>
      <c r="M43" s="60">
        <f t="shared" si="49"/>
        <v>433.95283647167696</v>
      </c>
      <c r="N43" s="60">
        <f t="shared" si="49"/>
        <v>435.1426985118859</v>
      </c>
      <c r="O43" s="60">
        <f t="shared" si="49"/>
        <v>426.26315376686352</v>
      </c>
      <c r="P43" s="60">
        <f t="shared" si="49"/>
        <v>417.29582169243258</v>
      </c>
      <c r="Q43" s="60">
        <f t="shared" si="49"/>
        <v>408.23982439009876</v>
      </c>
      <c r="R43" s="60">
        <f t="shared" si="49"/>
        <v>399.09427518237931</v>
      </c>
      <c r="S43" s="60">
        <f t="shared" si="49"/>
        <v>389.85827852501836</v>
      </c>
      <c r="T43" s="60">
        <f t="shared" si="49"/>
        <v>380.53092991832</v>
      </c>
      <c r="U43" s="60">
        <f t="shared" si="49"/>
        <v>371.11131581758866</v>
      </c>
      <c r="V43" s="60">
        <f t="shared" si="49"/>
        <v>361.59851354268494</v>
      </c>
      <c r="W43" s="60">
        <f t="shared" si="49"/>
        <v>351.9915911866691</v>
      </c>
      <c r="AB43" s="112">
        <f t="shared" si="3"/>
        <v>818</v>
      </c>
      <c r="AF43" s="114"/>
    </row>
    <row r="44" spans="1:35" ht="15" x14ac:dyDescent="0.25">
      <c r="A44" s="164" t="s">
        <v>49</v>
      </c>
      <c r="B44" s="165"/>
      <c r="C44" s="127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353.45522908878132</v>
      </c>
      <c r="H44" s="60">
        <f t="shared" si="50"/>
        <v>354.42491633965147</v>
      </c>
      <c r="I44" s="60">
        <f t="shared" si="50"/>
        <v>355.39730243838403</v>
      </c>
      <c r="J44" s="60">
        <f t="shared" si="50"/>
        <v>356.3723438565529</v>
      </c>
      <c r="K44" s="60">
        <f t="shared" si="50"/>
        <v>357.34999599598655</v>
      </c>
      <c r="L44" s="60">
        <f t="shared" si="50"/>
        <v>358.33021317235398</v>
      </c>
      <c r="M44" s="60">
        <f t="shared" si="50"/>
        <v>359.31294859854853</v>
      </c>
      <c r="N44" s="60">
        <f t="shared" si="50"/>
        <v>360.29815436784156</v>
      </c>
      <c r="O44" s="60">
        <f t="shared" si="50"/>
        <v>352.94589131896305</v>
      </c>
      <c r="P44" s="60">
        <f t="shared" si="50"/>
        <v>345.52094036133423</v>
      </c>
      <c r="Q44" s="60">
        <f t="shared" si="50"/>
        <v>338.0225745950018</v>
      </c>
      <c r="R44" s="60">
        <f t="shared" si="50"/>
        <v>330.45005985101011</v>
      </c>
      <c r="S44" s="60">
        <f t="shared" si="50"/>
        <v>322.80265461871522</v>
      </c>
      <c r="T44" s="60">
        <f t="shared" si="50"/>
        <v>315.07960997236898</v>
      </c>
      <c r="U44" s="60">
        <f t="shared" si="50"/>
        <v>307.28016949696342</v>
      </c>
      <c r="V44" s="60">
        <f t="shared" si="50"/>
        <v>299.40356921334313</v>
      </c>
      <c r="W44" s="60">
        <f t="shared" si="50"/>
        <v>291.44903750256202</v>
      </c>
      <c r="AB44" s="112">
        <f t="shared" si="3"/>
        <v>828</v>
      </c>
      <c r="AF44" s="114"/>
    </row>
    <row r="45" spans="1:35" s="67" customFormat="1" ht="16.899999999999999" customHeight="1" x14ac:dyDescent="0.25">
      <c r="A45" s="166" t="s">
        <v>22</v>
      </c>
      <c r="B45" s="167"/>
      <c r="C45" s="129"/>
      <c r="D45" s="155">
        <f>(D44/$M$9)/$M$10</f>
        <v>0</v>
      </c>
      <c r="E45" s="155">
        <f t="shared" ref="E45:W45" si="51">(E44/$M$9)/$M$10</f>
        <v>0</v>
      </c>
      <c r="F45" s="155">
        <f t="shared" si="51"/>
        <v>0</v>
      </c>
      <c r="G45" s="155">
        <f t="shared" si="51"/>
        <v>2.8971740089244369E-3</v>
      </c>
      <c r="H45" s="155">
        <f t="shared" si="51"/>
        <v>2.9051222650791101E-3</v>
      </c>
      <c r="I45" s="155">
        <f t="shared" si="51"/>
        <v>2.9130926429375742E-3</v>
      </c>
      <c r="J45" s="155">
        <f t="shared" si="51"/>
        <v>2.9210847857094502E-3</v>
      </c>
      <c r="K45" s="155">
        <f t="shared" si="51"/>
        <v>2.9290983278359552E-3</v>
      </c>
      <c r="L45" s="155">
        <f t="shared" si="51"/>
        <v>2.9371328948553602E-3</v>
      </c>
      <c r="M45" s="155">
        <f t="shared" si="51"/>
        <v>2.9451881032667914E-3</v>
      </c>
      <c r="N45" s="155">
        <f t="shared" si="51"/>
        <v>2.9532635603921444E-3</v>
      </c>
      <c r="O45" s="155">
        <f t="shared" si="51"/>
        <v>2.8929991091718281E-3</v>
      </c>
      <c r="P45" s="155">
        <f t="shared" si="51"/>
        <v>2.8321388554207721E-3</v>
      </c>
      <c r="Q45" s="155">
        <f t="shared" si="51"/>
        <v>2.7706768409426373E-3</v>
      </c>
      <c r="R45" s="155">
        <f t="shared" si="51"/>
        <v>2.708607047959099E-3</v>
      </c>
      <c r="S45" s="155">
        <f t="shared" si="51"/>
        <v>2.6459233985140591E-3</v>
      </c>
      <c r="T45" s="155">
        <f t="shared" si="51"/>
        <v>2.5826197538718772E-3</v>
      </c>
      <c r="U45" s="155">
        <f t="shared" si="51"/>
        <v>2.5186899139095363E-3</v>
      </c>
      <c r="V45" s="155">
        <f t="shared" si="51"/>
        <v>2.4541276165028127E-3</v>
      </c>
      <c r="W45" s="155">
        <f t="shared" si="51"/>
        <v>2.388926536906246E-3</v>
      </c>
      <c r="AA45" s="112"/>
      <c r="AB45" s="112">
        <f t="shared" si="3"/>
        <v>838</v>
      </c>
      <c r="AC45" s="112"/>
      <c r="AD45" s="112"/>
      <c r="AE45" s="112"/>
      <c r="AF45" s="114"/>
      <c r="AG45" s="112"/>
      <c r="AH45" s="112"/>
      <c r="AI45" s="112"/>
    </row>
    <row r="46" spans="1:35" ht="16.899999999999999" customHeight="1" x14ac:dyDescent="0.25">
      <c r="AB46" s="112">
        <f t="shared" si="3"/>
        <v>848</v>
      </c>
    </row>
    <row r="47" spans="1:35" ht="16.899999999999999" customHeight="1" x14ac:dyDescent="0.25">
      <c r="A47" s="176" t="s">
        <v>35</v>
      </c>
      <c r="B47" s="177"/>
      <c r="C47" s="130"/>
      <c r="D47" s="71">
        <f t="shared" ref="D47:W47" si="52">IF(D20&lt;=$M$13,D25/-PMT($M$12,$M$13,$M$11),"")</f>
        <v>2.8849376277717225</v>
      </c>
      <c r="E47" s="71">
        <f t="shared" si="52"/>
        <v>2.8777463659388034</v>
      </c>
      <c r="F47" s="71">
        <f t="shared" si="52"/>
        <v>2.8704840925035082</v>
      </c>
      <c r="G47" s="71">
        <f t="shared" si="52"/>
        <v>2.8631500973272863</v>
      </c>
      <c r="H47" s="71">
        <f t="shared" si="52"/>
        <v>2.8557436631702058</v>
      </c>
      <c r="I47" s="71">
        <f t="shared" si="52"/>
        <v>2.8482640656199325</v>
      </c>
      <c r="J47" s="71">
        <f t="shared" si="52"/>
        <v>2.8407105730200106</v>
      </c>
      <c r="K47" s="71">
        <f t="shared" si="52"/>
        <v>2.8330824463974214</v>
      </c>
      <c r="L47" s="71">
        <f t="shared" si="52"/>
        <v>2.8253789393894149</v>
      </c>
      <c r="M47" s="71">
        <f t="shared" si="52"/>
        <v>2.8175992981696152</v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2">
        <f t="shared" si="3"/>
        <v>858</v>
      </c>
    </row>
    <row r="48" spans="1:35" ht="16.899999999999999" customHeight="1" x14ac:dyDescent="0.25">
      <c r="AB48" s="112">
        <f t="shared" ref="AB48:AB61" si="53">AB47+10</f>
        <v>868</v>
      </c>
    </row>
    <row r="49" spans="1:35" ht="16.899999999999999" customHeight="1" x14ac:dyDescent="0.25">
      <c r="A49" s="163" t="s">
        <v>17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AB49" s="112">
        <f t="shared" si="53"/>
        <v>878</v>
      </c>
    </row>
    <row r="50" spans="1:35" ht="16.899999999999999" customHeight="1" x14ac:dyDescent="0.25">
      <c r="AB50" s="112">
        <f t="shared" si="53"/>
        <v>888</v>
      </c>
    </row>
    <row r="51" spans="1:35" ht="16.899999999999999" customHeight="1" x14ac:dyDescent="0.25">
      <c r="A51" s="175" t="s">
        <v>18</v>
      </c>
      <c r="B51" s="175"/>
      <c r="C51" s="60">
        <f>W40</f>
        <v>-18601.448437529965</v>
      </c>
      <c r="D51" s="88" t="str">
        <f>IF(C51&gt;0,"OK","PB")</f>
        <v>PB</v>
      </c>
      <c r="F51" s="73"/>
      <c r="AB51" s="112">
        <f t="shared" si="53"/>
        <v>898</v>
      </c>
    </row>
    <row r="52" spans="1:35" ht="16.899999999999999" customHeight="1" x14ac:dyDescent="0.25">
      <c r="A52" s="175" t="s">
        <v>40</v>
      </c>
      <c r="B52" s="175"/>
      <c r="C52" s="60">
        <f>SUM(D42:W42)</f>
        <v>13095.868500464352</v>
      </c>
      <c r="AB52" s="112">
        <f t="shared" si="53"/>
        <v>908</v>
      </c>
    </row>
    <row r="53" spans="1:35" ht="15" x14ac:dyDescent="0.25">
      <c r="A53" s="175" t="s">
        <v>19</v>
      </c>
      <c r="B53" s="175"/>
      <c r="C53" s="74">
        <f>IRR(C37:W37)</f>
        <v>1.4001698394430884E-2</v>
      </c>
      <c r="D53" s="134" t="str">
        <f>IF(C53&gt;M12,"OK","PB")</f>
        <v>OK</v>
      </c>
      <c r="AB53" s="112">
        <f t="shared" si="53"/>
        <v>918</v>
      </c>
    </row>
    <row r="54" spans="1:35" ht="29.45" customHeight="1" x14ac:dyDescent="0.25">
      <c r="A54" s="175" t="s">
        <v>20</v>
      </c>
      <c r="B54" s="175"/>
      <c r="C54" s="75">
        <f>AVERAGE(D34:W34)/M8</f>
        <v>8.73913534109747E-3</v>
      </c>
      <c r="AB54" s="112">
        <f t="shared" si="53"/>
        <v>928</v>
      </c>
    </row>
    <row r="55" spans="1:35" ht="26.45" customHeight="1" x14ac:dyDescent="0.25">
      <c r="A55" s="175" t="s">
        <v>41</v>
      </c>
      <c r="B55" s="175"/>
      <c r="C55" s="75">
        <f>AVERAGE(D45:W45)</f>
        <v>2.3597932831099845E-3</v>
      </c>
      <c r="AB55" s="112">
        <f t="shared" si="53"/>
        <v>938</v>
      </c>
    </row>
    <row r="56" spans="1:35" ht="16.899999999999999" customHeight="1" x14ac:dyDescent="0.25">
      <c r="AB56" s="112">
        <f t="shared" si="53"/>
        <v>948</v>
      </c>
    </row>
    <row r="57" spans="1:35" ht="16.899999999999999" customHeight="1" x14ac:dyDescent="0.25">
      <c r="A57" s="76" t="s">
        <v>104</v>
      </c>
      <c r="B57" s="89">
        <f>C11/(C9*1000)</f>
        <v>1.5</v>
      </c>
      <c r="AB57" s="112">
        <f t="shared" si="53"/>
        <v>958</v>
      </c>
    </row>
    <row r="58" spans="1:35" ht="16.899999999999999" customHeight="1" x14ac:dyDescent="0.25">
      <c r="D58" s="77"/>
      <c r="AB58" s="112">
        <f t="shared" si="53"/>
        <v>968</v>
      </c>
    </row>
    <row r="59" spans="1:35" s="78" customFormat="1" ht="16.899999999999999" customHeight="1" x14ac:dyDescent="0.25">
      <c r="AA59" s="119"/>
      <c r="AB59" s="112">
        <f t="shared" si="53"/>
        <v>978</v>
      </c>
      <c r="AC59" s="119"/>
      <c r="AD59" s="119"/>
      <c r="AE59" s="119"/>
      <c r="AF59" s="119"/>
      <c r="AG59" s="119"/>
      <c r="AH59" s="119"/>
      <c r="AI59" s="119"/>
    </row>
    <row r="60" spans="1:35" ht="16.899999999999999" customHeight="1" x14ac:dyDescent="0.25">
      <c r="AB60" s="112">
        <f t="shared" si="53"/>
        <v>988</v>
      </c>
    </row>
    <row r="61" spans="1:35" ht="16.899999999999999" customHeight="1" x14ac:dyDescent="0.25">
      <c r="AB61" s="112">
        <v>2440</v>
      </c>
    </row>
    <row r="62" spans="1:35" ht="16.899999999999999" customHeight="1" x14ac:dyDescent="0.25">
      <c r="AB62" s="41"/>
    </row>
  </sheetData>
  <mergeCells count="75">
    <mergeCell ref="A26:B26"/>
    <mergeCell ref="A31:B31"/>
    <mergeCell ref="A24:B24"/>
    <mergeCell ref="A21:B21"/>
    <mergeCell ref="A22:B22"/>
    <mergeCell ref="A23:B23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49:O49"/>
    <mergeCell ref="P49:Q49"/>
    <mergeCell ref="R49:S49"/>
    <mergeCell ref="T49:U49"/>
    <mergeCell ref="V49:W49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78" t="s">
        <v>66</v>
      </c>
      <c r="B1" s="179"/>
      <c r="C1" s="179"/>
      <c r="D1" s="179"/>
      <c r="E1" s="179"/>
      <c r="F1" s="179"/>
      <c r="G1" s="179"/>
      <c r="H1" s="179"/>
      <c r="I1" s="102"/>
    </row>
    <row r="2" spans="1:27" x14ac:dyDescent="0.25">
      <c r="A2" s="121" t="s">
        <v>169</v>
      </c>
    </row>
    <row r="3" spans="1:27" s="100" customFormat="1" ht="33.75" x14ac:dyDescent="0.25">
      <c r="A3" s="120"/>
      <c r="B3" s="99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5" t="s">
        <v>150</v>
      </c>
      <c r="K3" s="104"/>
      <c r="L3" s="101"/>
      <c r="M3" s="12" t="s">
        <v>165</v>
      </c>
      <c r="N3" s="152" t="s">
        <v>185</v>
      </c>
    </row>
    <row r="4" spans="1:27" ht="15.75" x14ac:dyDescent="0.25">
      <c r="A4" s="12" t="s">
        <v>165</v>
      </c>
      <c r="B4" s="32" t="s">
        <v>69</v>
      </c>
      <c r="C4" s="34">
        <v>540</v>
      </c>
      <c r="D4" s="34">
        <v>100</v>
      </c>
      <c r="E4" s="34">
        <v>112500</v>
      </c>
      <c r="F4" s="17">
        <f>E4/D4</f>
        <v>1125</v>
      </c>
      <c r="G4" s="35">
        <v>10</v>
      </c>
      <c r="H4" s="27">
        <f>G4*E4/100</f>
        <v>11250</v>
      </c>
      <c r="J4" s="107" t="s">
        <v>154</v>
      </c>
      <c r="K4" s="122"/>
      <c r="M4" s="12" t="s">
        <v>164</v>
      </c>
      <c r="N4" s="151">
        <f t="shared" ref="N4:N38" si="0">IF(A4="oui",1,0)</f>
        <v>1</v>
      </c>
    </row>
    <row r="5" spans="1:27" ht="15.75" x14ac:dyDescent="0.25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6"/>
      <c r="K5" s="11"/>
      <c r="N5" s="151">
        <f t="shared" si="0"/>
        <v>1</v>
      </c>
    </row>
    <row r="6" spans="1:27" ht="15.75" x14ac:dyDescent="0.25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80" t="s">
        <v>166</v>
      </c>
      <c r="K6" s="123"/>
      <c r="N6" s="151">
        <f t="shared" si="0"/>
        <v>1</v>
      </c>
    </row>
    <row r="7" spans="1:27" ht="15.75" x14ac:dyDescent="0.25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80"/>
      <c r="K7" s="123"/>
      <c r="N7" s="151">
        <f t="shared" si="0"/>
        <v>1</v>
      </c>
    </row>
    <row r="8" spans="1:27" ht="15.75" x14ac:dyDescent="0.25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7" t="s">
        <v>172</v>
      </c>
      <c r="K8" s="122"/>
      <c r="N8" s="151">
        <f t="shared" si="0"/>
        <v>1</v>
      </c>
    </row>
    <row r="9" spans="1:27" ht="15.75" x14ac:dyDescent="0.25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7" t="s">
        <v>153</v>
      </c>
      <c r="K9" s="11"/>
      <c r="N9" s="151">
        <f t="shared" si="0"/>
        <v>1</v>
      </c>
    </row>
    <row r="10" spans="1:27" ht="15.75" x14ac:dyDescent="0.25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1" t="s">
        <v>152</v>
      </c>
      <c r="K10" s="124"/>
      <c r="N10" s="151">
        <f t="shared" si="0"/>
        <v>1</v>
      </c>
    </row>
    <row r="11" spans="1:27" ht="15.75" x14ac:dyDescent="0.25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2"/>
      <c r="K11" s="124"/>
      <c r="N11" s="151">
        <f t="shared" si="0"/>
        <v>1</v>
      </c>
    </row>
    <row r="12" spans="1:27" ht="15.75" x14ac:dyDescent="0.25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2"/>
      <c r="N12" s="151">
        <f t="shared" si="0"/>
        <v>1</v>
      </c>
    </row>
    <row r="13" spans="1:27" ht="15.75" x14ac:dyDescent="0.25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5"/>
      <c r="N13" s="151">
        <f t="shared" si="0"/>
        <v>1</v>
      </c>
    </row>
    <row r="14" spans="1:27" ht="15.75" x14ac:dyDescent="0.25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5"/>
      <c r="N14" s="151">
        <f t="shared" si="0"/>
        <v>1</v>
      </c>
    </row>
    <row r="15" spans="1:27" ht="15.75" x14ac:dyDescent="0.25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1">
        <f t="shared" si="0"/>
        <v>1</v>
      </c>
    </row>
    <row r="16" spans="1:27" ht="15.75" x14ac:dyDescent="0.25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1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1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1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1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1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1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1">
        <f t="shared" si="0"/>
        <v>1</v>
      </c>
    </row>
    <row r="23" spans="1:27" ht="15.75" x14ac:dyDescent="0.25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1">
        <f t="shared" si="0"/>
        <v>1</v>
      </c>
    </row>
    <row r="24" spans="1:27" ht="15.75" x14ac:dyDescent="0.25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1">
        <f t="shared" si="0"/>
        <v>1</v>
      </c>
    </row>
    <row r="25" spans="1:27" ht="15.75" x14ac:dyDescent="0.25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1">
        <f t="shared" si="0"/>
        <v>1</v>
      </c>
    </row>
    <row r="26" spans="1:27" ht="15.75" x14ac:dyDescent="0.25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1">
        <f t="shared" si="0"/>
        <v>1</v>
      </c>
    </row>
    <row r="27" spans="1:27" ht="15.75" x14ac:dyDescent="0.25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1">
        <f t="shared" si="0"/>
        <v>1</v>
      </c>
    </row>
    <row r="28" spans="1:27" ht="15.75" x14ac:dyDescent="0.25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1">
        <f t="shared" si="0"/>
        <v>1</v>
      </c>
    </row>
    <row r="29" spans="1:27" ht="15.75" x14ac:dyDescent="0.25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1">
        <f t="shared" si="0"/>
        <v>1</v>
      </c>
    </row>
    <row r="30" spans="1:27" ht="15.75" x14ac:dyDescent="0.25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1">
        <f t="shared" si="0"/>
        <v>1</v>
      </c>
    </row>
    <row r="31" spans="1:27" ht="15.75" x14ac:dyDescent="0.25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1">
        <f t="shared" si="0"/>
        <v>1</v>
      </c>
    </row>
    <row r="32" spans="1:27" ht="15.75" x14ac:dyDescent="0.25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1">
        <f t="shared" si="0"/>
        <v>1</v>
      </c>
    </row>
    <row r="33" spans="1:14" ht="15.75" x14ac:dyDescent="0.25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1">
        <f t="shared" si="0"/>
        <v>1</v>
      </c>
    </row>
    <row r="34" spans="1:14" ht="15.75" x14ac:dyDescent="0.25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1">
        <f t="shared" si="0"/>
        <v>1</v>
      </c>
    </row>
    <row r="35" spans="1:14" ht="15.75" x14ac:dyDescent="0.25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1">
        <f t="shared" si="0"/>
        <v>1</v>
      </c>
    </row>
    <row r="36" spans="1:14" ht="15.75" x14ac:dyDescent="0.25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1">
        <f t="shared" si="0"/>
        <v>1</v>
      </c>
    </row>
    <row r="37" spans="1:14" ht="15.75" x14ac:dyDescent="0.25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1">
        <f t="shared" si="0"/>
        <v>1</v>
      </c>
    </row>
    <row r="38" spans="1:14" ht="15.75" x14ac:dyDescent="0.25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1">
        <f t="shared" si="0"/>
        <v>1</v>
      </c>
    </row>
    <row r="39" spans="1:14" ht="18.75" x14ac:dyDescent="0.3">
      <c r="A39" s="139"/>
      <c r="B39" s="140"/>
      <c r="C39" s="137">
        <f>SUMPRODUCT(C4:C38,$N$4:$N$38)</f>
        <v>540</v>
      </c>
      <c r="D39" s="137">
        <f t="shared" ref="D39:E39" si="8">SUMPRODUCT(D4:D38,$N$4:$N$38)</f>
        <v>100</v>
      </c>
      <c r="E39" s="137">
        <f t="shared" si="8"/>
        <v>112500</v>
      </c>
      <c r="G39" s="138"/>
      <c r="H39" s="137">
        <f>SUMPRODUCT(H4:H38,$N$4:$N$38)</f>
        <v>11250</v>
      </c>
      <c r="N39" s="100"/>
    </row>
    <row r="40" spans="1:14" customFormat="1" ht="6.75" customHeight="1" x14ac:dyDescent="0.25">
      <c r="F40" s="10"/>
      <c r="K40" s="12"/>
    </row>
    <row r="41" spans="1:14" x14ac:dyDescent="0.25">
      <c r="B41"/>
      <c r="N41" s="100"/>
    </row>
    <row r="42" spans="1:14" x14ac:dyDescent="0.25">
      <c r="B42"/>
      <c r="C42" s="2"/>
      <c r="D42" s="12"/>
      <c r="E42" s="12"/>
      <c r="F42" s="12"/>
      <c r="G42" s="12"/>
      <c r="H42" s="12"/>
      <c r="N42" s="100"/>
    </row>
    <row r="43" spans="1:14" x14ac:dyDescent="0.25">
      <c r="B43"/>
      <c r="D43" s="12"/>
      <c r="E43" s="12"/>
      <c r="F43" s="12"/>
      <c r="G43" s="12"/>
      <c r="H43" s="12"/>
      <c r="N43" s="100"/>
    </row>
    <row r="44" spans="1:14" x14ac:dyDescent="0.25">
      <c r="N44" s="100"/>
    </row>
    <row r="45" spans="1:14" x14ac:dyDescent="0.25">
      <c r="N45" s="100"/>
    </row>
    <row r="50" spans="1:11" x14ac:dyDescent="0.25">
      <c r="E50" s="12"/>
      <c r="F50" s="12"/>
    </row>
    <row r="52" spans="1:11" x14ac:dyDescent="0.25">
      <c r="A52" s="20"/>
      <c r="B52" s="21"/>
    </row>
    <row r="53" spans="1:11" s="22" customFormat="1" x14ac:dyDescent="0.25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22" zoomScale="70" zoomScaleNormal="70" workbookViewId="0">
      <selection activeCell="D46" sqref="D46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83" t="s">
        <v>102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P1" s="108"/>
    </row>
    <row r="3" spans="1:29" s="18" customFormat="1" ht="32.25" customHeight="1" x14ac:dyDescent="0.25">
      <c r="A3" s="12"/>
      <c r="C3" s="141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2" t="s">
        <v>176</v>
      </c>
      <c r="P3" s="146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6">
        <v>150000</v>
      </c>
      <c r="D4" s="37"/>
      <c r="E4" s="34"/>
      <c r="F4" s="34"/>
      <c r="G4" s="34"/>
      <c r="H4" s="34"/>
      <c r="I4" s="34"/>
      <c r="J4" s="34"/>
      <c r="K4" s="34"/>
      <c r="L4" s="34"/>
      <c r="M4" s="28">
        <f>SUM(C4:L4)</f>
        <v>150000</v>
      </c>
      <c r="N4" s="26"/>
      <c r="O4" s="93" t="s">
        <v>101</v>
      </c>
      <c r="P4" s="90" t="s">
        <v>177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4"/>
      <c r="P5" s="91" t="s">
        <v>179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3" t="s">
        <v>53</v>
      </c>
      <c r="P6" s="90" t="s">
        <v>178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4"/>
      <c r="P7" s="91" t="s">
        <v>107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3" t="s">
        <v>54</v>
      </c>
      <c r="P8" s="90" t="s">
        <v>108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4"/>
      <c r="P9" s="91" t="s">
        <v>109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3" t="s">
        <v>55</v>
      </c>
      <c r="P10" s="90" t="s">
        <v>180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4"/>
      <c r="P11" s="91" t="s">
        <v>110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3" t="s">
        <v>56</v>
      </c>
      <c r="P12" s="90" t="s">
        <v>111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4"/>
      <c r="P13" s="91" t="s">
        <v>112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3" t="s">
        <v>57</v>
      </c>
      <c r="P14" s="90" t="s">
        <v>113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4"/>
      <c r="P15" s="91" t="s">
        <v>159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3" t="s">
        <v>67</v>
      </c>
      <c r="P16" s="90" t="s">
        <v>181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6"/>
      <c r="P17" s="92"/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3" t="s">
        <v>115</v>
      </c>
      <c r="P18" s="90" t="s">
        <v>116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5"/>
      <c r="P19" s="91" t="s">
        <v>114</v>
      </c>
    </row>
    <row r="20" spans="1:18" x14ac:dyDescent="0.25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 x14ac:dyDescent="0.25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25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25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25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25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25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25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25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25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25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25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25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25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25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25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 x14ac:dyDescent="0.3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4">
        <f t="shared" si="0"/>
        <v>0</v>
      </c>
      <c r="N38" s="26"/>
    </row>
    <row r="39" spans="1:22" ht="19.5" thickBot="1" x14ac:dyDescent="0.35">
      <c r="A39" s="184" t="s">
        <v>167</v>
      </c>
      <c r="B39" s="185"/>
      <c r="C39" s="143">
        <f>SUMPRODUCT(C4:C38,ENCAISSEMENTS!$N$4:$N$38)</f>
        <v>150000</v>
      </c>
      <c r="D39" s="143">
        <f>SUMPRODUCT(D4:D38,ENCAISSEMENTS!$N$4:$N$38)</f>
        <v>0</v>
      </c>
      <c r="E39" s="143">
        <f>SUMPRODUCT(E4:E38,ENCAISSEMENTS!$N$4:$N$38)</f>
        <v>0</v>
      </c>
      <c r="F39" s="143">
        <f>SUMPRODUCT(F4:F38,ENCAISSEMENTS!$N$4:$N$38)</f>
        <v>0</v>
      </c>
      <c r="G39" s="143">
        <f>SUMPRODUCT(G4:G38,ENCAISSEMENTS!$N$4:$N$38)</f>
        <v>0</v>
      </c>
      <c r="H39" s="143">
        <f>SUMPRODUCT(H4:H38,ENCAISSEMENTS!$N$4:$N$38)</f>
        <v>0</v>
      </c>
      <c r="I39" s="143">
        <f>SUMPRODUCT(I4:I38,ENCAISSEMENTS!$N$4:$N$38)</f>
        <v>0</v>
      </c>
      <c r="J39" s="143">
        <f>SUMPRODUCT(J4:J38,ENCAISSEMENTS!$N$4:$N$38)</f>
        <v>0</v>
      </c>
      <c r="K39" s="143">
        <f>SUMPRODUCT(K4:K38,ENCAISSEMENTS!$N$4:$N$38)</f>
        <v>0</v>
      </c>
      <c r="L39" s="143">
        <f>SUMPRODUCT(L4:L38,ENCAISSEMENTS!$N$4:$N$38)</f>
        <v>0</v>
      </c>
      <c r="M39" s="145">
        <f>SUM(C39:L39)</f>
        <v>150000</v>
      </c>
    </row>
    <row r="42" spans="1:22" ht="26.25" x14ac:dyDescent="0.4">
      <c r="B42" s="183" t="s">
        <v>103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O42" s="142" t="s">
        <v>106</v>
      </c>
      <c r="P42" s="109"/>
    </row>
    <row r="44" spans="1:22" s="13" customFormat="1" ht="31.5" x14ac:dyDescent="0.25">
      <c r="A44" s="12"/>
      <c r="C44" s="17" t="s">
        <v>58</v>
      </c>
      <c r="D44" s="17" t="s">
        <v>59</v>
      </c>
      <c r="E44" s="17" t="s">
        <v>60</v>
      </c>
      <c r="F44" s="103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3" t="s">
        <v>117</v>
      </c>
      <c r="P44" s="90" t="s">
        <v>122</v>
      </c>
      <c r="Q44" s="12"/>
      <c r="R44" s="12"/>
      <c r="S44" s="12"/>
      <c r="T44" s="12"/>
      <c r="U44" s="12"/>
      <c r="V44" s="12"/>
    </row>
    <row r="45" spans="1:22" ht="15.75" x14ac:dyDescent="0.25">
      <c r="A45" s="12" t="str">
        <f>ENCAISSEMENTS!A4</f>
        <v>oui</v>
      </c>
      <c r="B45" s="1" t="str">
        <f>ENCAISSEMENTS!B4</f>
        <v>INSTALL 1</v>
      </c>
      <c r="C45" s="16">
        <f>ENCAISSEMENTS!C4</f>
        <v>540</v>
      </c>
      <c r="D45" s="34">
        <v>1500</v>
      </c>
      <c r="E45" s="34">
        <v>350</v>
      </c>
      <c r="F45" s="34">
        <v>0</v>
      </c>
      <c r="G45" s="39">
        <v>350</v>
      </c>
      <c r="H45" s="39"/>
      <c r="I45" s="39"/>
      <c r="J45" s="39"/>
      <c r="K45" s="110">
        <f>SUM(D45:J45)</f>
        <v>2200</v>
      </c>
      <c r="O45" s="96"/>
      <c r="P45" s="92" t="s">
        <v>123</v>
      </c>
      <c r="R45" s="12"/>
    </row>
    <row r="46" spans="1:22" ht="15.75" x14ac:dyDescent="0.2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0">
        <f t="shared" ref="K46:K79" si="1">SUM(D46:J46)</f>
        <v>0</v>
      </c>
      <c r="O46" s="93" t="s">
        <v>118</v>
      </c>
      <c r="P46" s="90" t="s">
        <v>183</v>
      </c>
      <c r="R46" s="12"/>
    </row>
    <row r="47" spans="1:22" ht="15.75" x14ac:dyDescent="0.2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0">
        <f t="shared" si="1"/>
        <v>0</v>
      </c>
      <c r="O47" s="96"/>
      <c r="P47" s="92" t="s">
        <v>195</v>
      </c>
      <c r="R47" s="12"/>
    </row>
    <row r="48" spans="1:22" ht="15.75" x14ac:dyDescent="0.2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0">
        <f t="shared" si="1"/>
        <v>0</v>
      </c>
      <c r="O48" s="97"/>
      <c r="P48" s="92" t="s">
        <v>196</v>
      </c>
      <c r="R48" s="12"/>
    </row>
    <row r="49" spans="1:28" ht="15.75" x14ac:dyDescent="0.2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0">
        <f t="shared" si="1"/>
        <v>0</v>
      </c>
      <c r="O49" s="97"/>
      <c r="P49" s="92" t="s">
        <v>197</v>
      </c>
      <c r="R49" s="12"/>
    </row>
    <row r="50" spans="1:28" ht="15.75" x14ac:dyDescent="0.2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0">
        <f t="shared" si="1"/>
        <v>0</v>
      </c>
      <c r="O50" s="97"/>
      <c r="P50" s="92" t="s">
        <v>198</v>
      </c>
      <c r="R50" s="12"/>
    </row>
    <row r="51" spans="1:28" ht="15.75" x14ac:dyDescent="0.2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0">
        <f t="shared" si="1"/>
        <v>0</v>
      </c>
      <c r="O51" s="97"/>
      <c r="P51" s="92" t="s">
        <v>199</v>
      </c>
      <c r="S51"/>
      <c r="T51"/>
      <c r="U51"/>
      <c r="V51"/>
      <c r="W51"/>
      <c r="X51"/>
      <c r="Y51"/>
      <c r="Z51"/>
      <c r="AA51"/>
      <c r="AB51"/>
    </row>
    <row r="52" spans="1:28" ht="15.75" x14ac:dyDescent="0.2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0">
        <f t="shared" si="1"/>
        <v>0</v>
      </c>
      <c r="O52" s="147"/>
      <c r="P52" s="92" t="s">
        <v>200</v>
      </c>
      <c r="S52"/>
      <c r="T52"/>
      <c r="U52"/>
      <c r="V52"/>
      <c r="W52"/>
      <c r="X52"/>
      <c r="Y52"/>
      <c r="Z52"/>
      <c r="AA52"/>
      <c r="AB52"/>
    </row>
    <row r="53" spans="1:28" ht="15.75" x14ac:dyDescent="0.2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0">
        <f t="shared" si="1"/>
        <v>0</v>
      </c>
      <c r="O53" s="147"/>
      <c r="P53" s="92" t="s">
        <v>201</v>
      </c>
      <c r="S53"/>
      <c r="T53"/>
      <c r="U53"/>
      <c r="V53"/>
      <c r="W53"/>
      <c r="X53"/>
      <c r="Y53"/>
      <c r="Z53"/>
      <c r="AA53"/>
      <c r="AB53"/>
    </row>
    <row r="54" spans="1:28" ht="15.75" x14ac:dyDescent="0.2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0">
        <f t="shared" si="1"/>
        <v>0</v>
      </c>
      <c r="O54" s="147"/>
      <c r="P54" s="92" t="s">
        <v>202</v>
      </c>
      <c r="S54"/>
      <c r="T54"/>
      <c r="U54"/>
      <c r="V54"/>
      <c r="W54"/>
      <c r="X54"/>
      <c r="Y54"/>
      <c r="Z54"/>
      <c r="AA54"/>
      <c r="AB54"/>
    </row>
    <row r="55" spans="1:28" ht="15.75" x14ac:dyDescent="0.2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0">
        <f t="shared" si="1"/>
        <v>0</v>
      </c>
      <c r="O55" s="147"/>
      <c r="P55" s="92" t="s">
        <v>203</v>
      </c>
      <c r="S55"/>
      <c r="T55"/>
      <c r="U55"/>
      <c r="V55"/>
      <c r="W55"/>
      <c r="X55"/>
      <c r="Y55"/>
      <c r="Z55"/>
      <c r="AA55"/>
      <c r="AB55"/>
    </row>
    <row r="56" spans="1:28" ht="15.75" x14ac:dyDescent="0.2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0">
        <f t="shared" si="1"/>
        <v>0</v>
      </c>
      <c r="O56" s="147"/>
      <c r="P56" s="92" t="s">
        <v>204</v>
      </c>
      <c r="S56"/>
      <c r="T56"/>
      <c r="U56"/>
      <c r="V56"/>
      <c r="W56"/>
      <c r="X56"/>
      <c r="Y56"/>
      <c r="Z56"/>
      <c r="AA56"/>
      <c r="AB56"/>
    </row>
    <row r="57" spans="1:28" ht="15.75" x14ac:dyDescent="0.2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0">
        <f t="shared" si="1"/>
        <v>0</v>
      </c>
      <c r="O57" s="111"/>
      <c r="P57" s="91" t="s">
        <v>194</v>
      </c>
      <c r="Q57" s="12"/>
      <c r="R57" s="12"/>
    </row>
    <row r="58" spans="1:28" ht="15.75" x14ac:dyDescent="0.2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0">
        <f t="shared" si="1"/>
        <v>0</v>
      </c>
      <c r="O58" s="98" t="s">
        <v>119</v>
      </c>
      <c r="P58" s="92" t="s">
        <v>160</v>
      </c>
      <c r="R58" s="12"/>
    </row>
    <row r="59" spans="1:28" ht="15.75" x14ac:dyDescent="0.2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0">
        <f t="shared" si="1"/>
        <v>0</v>
      </c>
      <c r="O59" s="94"/>
      <c r="P59" s="91" t="s">
        <v>124</v>
      </c>
      <c r="Q59" s="12"/>
      <c r="R59" s="12"/>
    </row>
    <row r="60" spans="1:28" ht="15.75" x14ac:dyDescent="0.2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0">
        <f t="shared" si="1"/>
        <v>0</v>
      </c>
      <c r="O60" s="93" t="s">
        <v>36</v>
      </c>
      <c r="P60" s="90" t="s">
        <v>125</v>
      </c>
      <c r="Q60" s="12"/>
      <c r="R60" s="12"/>
    </row>
    <row r="61" spans="1:28" ht="15.75" x14ac:dyDescent="0.2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0">
        <f t="shared" si="1"/>
        <v>0</v>
      </c>
      <c r="O61" s="94"/>
      <c r="P61" s="91" t="s">
        <v>205</v>
      </c>
      <c r="Q61" s="12"/>
      <c r="R61" s="12"/>
    </row>
    <row r="62" spans="1:28" ht="15.75" x14ac:dyDescent="0.2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0">
        <f t="shared" si="1"/>
        <v>0</v>
      </c>
      <c r="O62" s="93" t="s">
        <v>68</v>
      </c>
      <c r="P62" s="90" t="s">
        <v>184</v>
      </c>
      <c r="Q62" s="12"/>
      <c r="R62" s="12"/>
    </row>
    <row r="63" spans="1:28" ht="15.75" x14ac:dyDescent="0.2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0">
        <f t="shared" si="1"/>
        <v>0</v>
      </c>
      <c r="O63" s="94"/>
      <c r="P63" s="91" t="s">
        <v>126</v>
      </c>
      <c r="Q63" s="12"/>
      <c r="R63" s="12"/>
    </row>
    <row r="64" spans="1:28" ht="15.75" x14ac:dyDescent="0.2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0">
        <f t="shared" si="1"/>
        <v>0</v>
      </c>
      <c r="O64" s="93" t="s">
        <v>120</v>
      </c>
      <c r="P64" s="90" t="s">
        <v>127</v>
      </c>
      <c r="Q64" s="12"/>
      <c r="R64" s="12"/>
    </row>
    <row r="65" spans="1:18" ht="15.75" x14ac:dyDescent="0.2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0">
        <f t="shared" si="1"/>
        <v>0</v>
      </c>
      <c r="O65" s="94"/>
      <c r="P65" s="91" t="s">
        <v>128</v>
      </c>
      <c r="Q65" s="12"/>
      <c r="R65" s="12"/>
    </row>
    <row r="66" spans="1:18" ht="15.75" x14ac:dyDescent="0.2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0">
        <f t="shared" si="1"/>
        <v>0</v>
      </c>
      <c r="O66" s="93" t="s">
        <v>121</v>
      </c>
      <c r="P66" s="90" t="s">
        <v>129</v>
      </c>
      <c r="Q66" s="12"/>
      <c r="R66" s="12"/>
    </row>
    <row r="67" spans="1:18" ht="15.75" x14ac:dyDescent="0.2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0">
        <f t="shared" si="1"/>
        <v>0</v>
      </c>
      <c r="O67" s="111"/>
      <c r="P67" s="91"/>
      <c r="Q67" s="12"/>
      <c r="R67" s="12"/>
    </row>
    <row r="68" spans="1:18" ht="15.75" x14ac:dyDescent="0.2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0">
        <f t="shared" si="1"/>
        <v>0</v>
      </c>
      <c r="Q68" s="12"/>
      <c r="R68" s="12"/>
    </row>
    <row r="69" spans="1:18" ht="15.75" x14ac:dyDescent="0.2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0">
        <f t="shared" si="1"/>
        <v>0</v>
      </c>
      <c r="Q69" s="12"/>
      <c r="R69" s="12"/>
    </row>
    <row r="70" spans="1:18" ht="15.75" x14ac:dyDescent="0.2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0">
        <f t="shared" si="1"/>
        <v>0</v>
      </c>
      <c r="Q70" s="12"/>
      <c r="R70" s="12"/>
    </row>
    <row r="71" spans="1:18" ht="15.75" x14ac:dyDescent="0.2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0">
        <f t="shared" si="1"/>
        <v>0</v>
      </c>
      <c r="Q71" s="12"/>
      <c r="R71" s="12"/>
    </row>
    <row r="72" spans="1:18" ht="15.75" x14ac:dyDescent="0.2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0">
        <f t="shared" si="1"/>
        <v>0</v>
      </c>
      <c r="Q72" s="12"/>
      <c r="R72" s="12"/>
    </row>
    <row r="73" spans="1:18" ht="15.75" x14ac:dyDescent="0.2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0">
        <f t="shared" si="1"/>
        <v>0</v>
      </c>
      <c r="Q73" s="12"/>
      <c r="R73" s="12"/>
    </row>
    <row r="74" spans="1:18" ht="15.75" x14ac:dyDescent="0.2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0">
        <f t="shared" si="1"/>
        <v>0</v>
      </c>
      <c r="Q74" s="12"/>
      <c r="R74" s="12"/>
    </row>
    <row r="75" spans="1:18" ht="15.75" x14ac:dyDescent="0.2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0">
        <f t="shared" si="1"/>
        <v>0</v>
      </c>
      <c r="Q75" s="12"/>
      <c r="R75" s="12"/>
    </row>
    <row r="76" spans="1:18" ht="15.75" x14ac:dyDescent="0.2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0">
        <f t="shared" si="1"/>
        <v>0</v>
      </c>
      <c r="R76" s="12"/>
    </row>
    <row r="77" spans="1:18" ht="15.75" x14ac:dyDescent="0.2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0">
        <f t="shared" si="1"/>
        <v>0</v>
      </c>
      <c r="R77" s="12"/>
    </row>
    <row r="78" spans="1:18" ht="15.75" x14ac:dyDescent="0.2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0">
        <f t="shared" si="1"/>
        <v>0</v>
      </c>
      <c r="Q78" s="12"/>
      <c r="R78" s="12"/>
    </row>
    <row r="79" spans="1:18" ht="16.5" thickBot="1" x14ac:dyDescent="0.3">
      <c r="A79" s="12" t="str">
        <f>ENCAISSEMENTS!A38</f>
        <v>oui</v>
      </c>
      <c r="B79" s="148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9">
        <f t="shared" si="1"/>
        <v>0</v>
      </c>
      <c r="R79" s="12"/>
    </row>
    <row r="80" spans="1:18" ht="19.5" thickBot="1" x14ac:dyDescent="0.35">
      <c r="A80" s="184" t="s">
        <v>167</v>
      </c>
      <c r="B80" s="185"/>
      <c r="C80" s="143">
        <f>SUMPRODUCT(C45:C79,ENCAISSEMENTS!$N$4:$N$38)</f>
        <v>540</v>
      </c>
      <c r="D80" s="143">
        <f>SUMPRODUCT(D45:D79,ENCAISSEMENTS!$N$4:$N$38)</f>
        <v>1500</v>
      </c>
      <c r="E80" s="143">
        <f>SUMPRODUCT(E45:E79,ENCAISSEMENTS!$N$4:$N$38)</f>
        <v>350</v>
      </c>
      <c r="F80" s="143">
        <f>SUMPRODUCT(F45:F79,ENCAISSEMENTS!$N$4:$N$38)</f>
        <v>0</v>
      </c>
      <c r="G80" s="143">
        <f>SUMPRODUCT(G45:G79,ENCAISSEMENTS!$N$4:$N$38)</f>
        <v>350</v>
      </c>
      <c r="H80" s="143">
        <f>SUMPRODUCT(H45:H79,ENCAISSEMENTS!$N$4:$N$38)</f>
        <v>0</v>
      </c>
      <c r="I80" s="143">
        <f>SUMPRODUCT(I45:I79,ENCAISSEMENTS!$N$4:$N$38)</f>
        <v>0</v>
      </c>
      <c r="J80" s="143">
        <f>SUMPRODUCT(J45:J79,ENCAISSEMENTS!$N$4:$N$38)</f>
        <v>0</v>
      </c>
      <c r="K80" s="150">
        <f>SUM(D80:J80)</f>
        <v>2200</v>
      </c>
      <c r="R80" s="12"/>
    </row>
    <row r="81" spans="2:17" x14ac:dyDescent="0.25">
      <c r="Q81" s="94"/>
    </row>
    <row r="82" spans="2:17" ht="26.25" x14ac:dyDescent="0.4">
      <c r="B82" s="183" t="s">
        <v>186</v>
      </c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</row>
    <row r="84" spans="2:17" x14ac:dyDescent="0.25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25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25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25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25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2020-10-14T16:34:51Z</dcterms:modified>
</cp:coreProperties>
</file>