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6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l="1"/>
  <c r="AB44" i="1" s="1"/>
  <c r="AB45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41" i="1"/>
  <c r="AB42" i="1" s="1"/>
  <c r="C13" i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<sst xmlns="http://schemas.openxmlformats.org/spreadsheetml/2006/main" count="253" uniqueCount="206">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</sst>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</cellStyleXfs>
  <cellXfs count="18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1" fontId="29" fillId="0" borderId="0" xfId="0" applyNumberFormat="1" applyFont="1" applyAlignment="1" applyProtection="1">
      <alignment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</cellXfs>
  <cellStyles count="39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zoomScale="80" zoomScaleNormal="80" workbookViewId="0">
      <selection activeCell="N40" sqref="N40"/>
    </sheetView>
  </sheetViews>
  <sheetFormatPr baseColWidth="10" defaultColWidth="11.5546875" defaultRowHeight="16.95" customHeight="1" x14ac:dyDescent="0.3"/>
  <cols>
    <col min="1" max="1" width="23.5546875" style="41" customWidth="1"/>
    <col min="2" max="2" width="16.5546875" style="41" customWidth="1"/>
    <col min="3" max="3" width="13.33203125" style="41" customWidth="1"/>
    <col min="4" max="4" width="12.6640625" style="41" customWidth="1"/>
    <col min="5" max="5" width="8.44140625" style="41" customWidth="1"/>
    <col min="6" max="6" width="10.6640625" style="41" customWidth="1"/>
    <col min="7" max="11" width="8.44140625" style="41" customWidth="1"/>
    <col min="12" max="12" width="10.33203125" style="41" customWidth="1"/>
    <col min="13" max="13" width="9.5546875" style="41" customWidth="1"/>
    <col min="14" max="23" width="8.44140625" style="41" customWidth="1"/>
    <col min="24" max="25" width="11.5546875" style="41"/>
    <col min="26" max="26" width="14.6640625" style="41" customWidth="1"/>
    <col min="27" max="27" width="11.5546875" style="112"/>
    <col min="28" max="32" width="11.5546875" style="112" customWidth="1"/>
    <col min="33" max="35" width="11.5546875" style="112"/>
    <col min="36" max="16384" width="11.5546875" style="41"/>
  </cols>
  <sheetData>
    <row r="1" spans="1:39" s="40" customFormat="1" ht="16.95" customHeight="1" x14ac:dyDescent="0.4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Y1" s="41"/>
      <c r="Z1" s="41"/>
      <c r="AA1" s="112"/>
      <c r="AC1" s="113"/>
      <c r="AD1" s="114">
        <v>1</v>
      </c>
      <c r="AE1" s="112"/>
      <c r="AF1" s="112"/>
      <c r="AG1" s="112"/>
      <c r="AH1" s="112"/>
      <c r="AI1" s="112"/>
      <c r="AJ1" s="41"/>
      <c r="AK1" s="41"/>
      <c r="AL1" s="41"/>
      <c r="AM1" s="41"/>
    </row>
    <row r="2" spans="1:39" ht="16.9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2">
        <f t="shared" ref="AB2:AB10" si="0">AB3-20</f>
        <v>200</v>
      </c>
      <c r="AC2" s="112">
        <v>8</v>
      </c>
      <c r="AD2" s="114">
        <v>1.01</v>
      </c>
      <c r="AE2" s="112" t="s">
        <v>81</v>
      </c>
      <c r="AF2" s="114">
        <v>0.05</v>
      </c>
    </row>
    <row r="3" spans="1:39" ht="16.95" customHeight="1" x14ac:dyDescent="0.3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2">
        <f t="shared" si="0"/>
        <v>220</v>
      </c>
      <c r="AC3" s="112">
        <v>9</v>
      </c>
      <c r="AD3" s="114"/>
      <c r="AE3" s="112" t="s">
        <v>80</v>
      </c>
      <c r="AF3" s="114"/>
    </row>
    <row r="4" spans="1:39" ht="16.95" customHeight="1" x14ac:dyDescent="0.3">
      <c r="A4" s="41" t="s">
        <v>79</v>
      </c>
      <c r="B4" s="80" t="s">
        <v>81</v>
      </c>
      <c r="J4" s="49"/>
      <c r="AB4" s="112">
        <f t="shared" si="0"/>
        <v>240</v>
      </c>
      <c r="AC4" s="112">
        <v>10</v>
      </c>
      <c r="AD4" s="114"/>
      <c r="AF4" s="114"/>
    </row>
    <row r="5" spans="1:39" ht="16.9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2">
        <f t="shared" si="0"/>
        <v>260</v>
      </c>
      <c r="AC5" s="112">
        <v>11</v>
      </c>
      <c r="AD5" s="114">
        <v>1.02</v>
      </c>
      <c r="AF5" s="114">
        <f>AF2+5%</f>
        <v>0.1</v>
      </c>
    </row>
    <row r="6" spans="1:39" s="54" customFormat="1" ht="16.95" customHeight="1" x14ac:dyDescent="0.3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6" t="s">
        <v>0</v>
      </c>
      <c r="L6" s="166"/>
      <c r="M6" s="166"/>
      <c r="N6" s="166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2"/>
      <c r="AB6" s="112">
        <f t="shared" si="0"/>
        <v>280</v>
      </c>
      <c r="AC6" s="112">
        <v>12</v>
      </c>
      <c r="AD6" s="115">
        <v>1.03</v>
      </c>
      <c r="AE6" s="112"/>
      <c r="AF6" s="114">
        <f t="shared" ref="AF6:AF14" si="1">AF5+5%</f>
        <v>0.15000000000000002</v>
      </c>
      <c r="AG6" s="112"/>
      <c r="AH6" s="112"/>
      <c r="AI6" s="112"/>
      <c r="AJ6" s="41"/>
      <c r="AK6" s="41"/>
      <c r="AL6" s="41"/>
      <c r="AM6" s="41"/>
    </row>
    <row r="7" spans="1:39" ht="16.95" customHeight="1" x14ac:dyDescent="0.3">
      <c r="AB7" s="112">
        <f t="shared" si="0"/>
        <v>300</v>
      </c>
      <c r="AC7" s="112">
        <v>13</v>
      </c>
      <c r="AD7" s="115">
        <f>1%+AD6</f>
        <v>1.04</v>
      </c>
      <c r="AF7" s="114">
        <f t="shared" si="1"/>
        <v>0.2</v>
      </c>
    </row>
    <row r="8" spans="1:39" s="56" customFormat="1" ht="14.4" x14ac:dyDescent="0.3">
      <c r="A8" s="163" t="s">
        <v>23</v>
      </c>
      <c r="B8" s="164"/>
      <c r="C8" s="55">
        <f>ENCAISSEMENTS!C39</f>
        <v>200</v>
      </c>
      <c r="F8" s="163" t="s">
        <v>42</v>
      </c>
      <c r="G8" s="165"/>
      <c r="H8" s="164"/>
      <c r="I8" s="85">
        <v>5.0000000000000001E-3</v>
      </c>
      <c r="K8" s="163" t="s">
        <v>173</v>
      </c>
      <c r="L8" s="164"/>
      <c r="M8" s="57">
        <f>M9*M10</f>
        <v>42100</v>
      </c>
      <c r="N8" s="58">
        <f>M8/C11</f>
        <v>1.0095923261390887</v>
      </c>
      <c r="O8" s="163" t="s">
        <v>87</v>
      </c>
      <c r="P8" s="164"/>
      <c r="Q8" s="81"/>
      <c r="R8" s="41"/>
      <c r="S8" s="163" t="s">
        <v>192</v>
      </c>
      <c r="T8" s="165"/>
      <c r="U8" s="164"/>
      <c r="V8" s="154">
        <f>(M8+M14)/C11</f>
        <v>1.0095923261390887</v>
      </c>
      <c r="W8" s="41"/>
      <c r="X8" s="41"/>
      <c r="Y8" s="41"/>
      <c r="Z8" s="41"/>
      <c r="AA8" s="112"/>
      <c r="AB8" s="112">
        <f t="shared" si="0"/>
        <v>320</v>
      </c>
      <c r="AC8" s="112">
        <v>14</v>
      </c>
      <c r="AD8" s="115">
        <f t="shared" ref="AD8:AD19" si="2">1%+AD7</f>
        <v>1.05</v>
      </c>
      <c r="AE8" s="116"/>
      <c r="AF8" s="114">
        <f t="shared" si="1"/>
        <v>0.25</v>
      </c>
      <c r="AG8" s="116"/>
      <c r="AH8" s="116"/>
      <c r="AI8" s="116"/>
    </row>
    <row r="9" spans="1:39" ht="14.4" x14ac:dyDescent="0.3">
      <c r="A9" s="161" t="s">
        <v>24</v>
      </c>
      <c r="B9" s="162"/>
      <c r="C9" s="59">
        <f>ENCAISSEMENTS!D39</f>
        <v>36</v>
      </c>
      <c r="F9" s="163" t="s">
        <v>3</v>
      </c>
      <c r="G9" s="165"/>
      <c r="H9" s="164"/>
      <c r="I9" s="85">
        <v>5.0000000000000001E-3</v>
      </c>
      <c r="K9" s="161" t="s">
        <v>96</v>
      </c>
      <c r="L9" s="162"/>
      <c r="M9" s="80">
        <v>842</v>
      </c>
      <c r="O9" s="163" t="s">
        <v>168</v>
      </c>
      <c r="P9" s="164"/>
      <c r="Q9" s="82"/>
      <c r="AB9" s="112">
        <f t="shared" si="0"/>
        <v>340</v>
      </c>
      <c r="AC9" s="112">
        <v>15</v>
      </c>
      <c r="AD9" s="115">
        <f t="shared" si="2"/>
        <v>1.06</v>
      </c>
      <c r="AF9" s="114">
        <f t="shared" si="1"/>
        <v>0.3</v>
      </c>
    </row>
    <row r="10" spans="1:39" ht="14.4" x14ac:dyDescent="0.3">
      <c r="A10" s="163" t="s">
        <v>26</v>
      </c>
      <c r="B10" s="164"/>
      <c r="C10" s="60">
        <f>ENCAISSEMENTS!E39</f>
        <v>44900</v>
      </c>
      <c r="F10" s="163" t="s">
        <v>4</v>
      </c>
      <c r="G10" s="165"/>
      <c r="H10" s="164"/>
      <c r="I10" s="82">
        <v>0.01</v>
      </c>
      <c r="K10" s="161" t="s">
        <v>97</v>
      </c>
      <c r="L10" s="162"/>
      <c r="M10" s="84">
        <v>50</v>
      </c>
      <c r="O10" s="163" t="s">
        <v>12</v>
      </c>
      <c r="P10" s="164"/>
      <c r="Q10" s="79"/>
      <c r="S10" s="163" t="s">
        <v>193</v>
      </c>
      <c r="T10" s="165"/>
      <c r="U10" s="164"/>
      <c r="V10" s="153">
        <f>DECAISSEMENTS!C39/(ENCAISSEMENTS!D39*1000)</f>
        <v>1</v>
      </c>
      <c r="AB10" s="112">
        <f t="shared" si="0"/>
        <v>360</v>
      </c>
      <c r="AC10" s="112">
        <v>16</v>
      </c>
      <c r="AD10" s="115">
        <f t="shared" si="2"/>
        <v>1.07</v>
      </c>
      <c r="AF10" s="114">
        <f t="shared" si="1"/>
        <v>0.35</v>
      </c>
    </row>
    <row r="11" spans="1:39" ht="14.4" x14ac:dyDescent="0.3">
      <c r="A11" s="131" t="s">
        <v>28</v>
      </c>
      <c r="B11" s="132"/>
      <c r="C11" s="61">
        <f>DECAISSEMENTS!M39</f>
        <v>41700</v>
      </c>
      <c r="F11" s="163" t="s">
        <v>43</v>
      </c>
      <c r="G11" s="165"/>
      <c r="H11" s="164"/>
      <c r="I11" s="86">
        <v>0.57499999999999996</v>
      </c>
      <c r="K11" s="163" t="s">
        <v>30</v>
      </c>
      <c r="L11" s="164"/>
      <c r="M11" s="57">
        <f>1.01*C11-M8-Q8-M14</f>
        <v>17</v>
      </c>
      <c r="N11"/>
      <c r="AB11" s="112">
        <f>AB12-20</f>
        <v>380</v>
      </c>
      <c r="AD11" s="115">
        <f t="shared" si="2"/>
        <v>1.08</v>
      </c>
      <c r="AF11" s="114">
        <f t="shared" si="1"/>
        <v>0.39999999999999997</v>
      </c>
    </row>
    <row r="12" spans="1:39" ht="14.4" x14ac:dyDescent="0.3">
      <c r="A12" s="131" t="s">
        <v>25</v>
      </c>
      <c r="B12" s="132"/>
      <c r="C12" s="61">
        <f>ENCAISSEMENTS!H39</f>
        <v>5271.26</v>
      </c>
      <c r="F12" s="163" t="s">
        <v>44</v>
      </c>
      <c r="G12" s="165"/>
      <c r="H12" s="164"/>
      <c r="I12" s="86">
        <v>0.57499999999999996</v>
      </c>
      <c r="K12" s="161" t="s">
        <v>45</v>
      </c>
      <c r="L12" s="162"/>
      <c r="M12" s="83">
        <v>8.9999999999999993E-3</v>
      </c>
      <c r="AB12" s="112">
        <v>400</v>
      </c>
      <c r="AD12" s="115">
        <f t="shared" si="2"/>
        <v>1.0900000000000001</v>
      </c>
      <c r="AF12" s="114">
        <f t="shared" si="1"/>
        <v>0.44999999999999996</v>
      </c>
    </row>
    <row r="13" spans="1:39" ht="14.4" x14ac:dyDescent="0.3">
      <c r="A13" s="131" t="s">
        <v>29</v>
      </c>
      <c r="B13" s="132"/>
      <c r="C13" s="62">
        <f>DECAISSEMENTS!K80</f>
        <v>762</v>
      </c>
      <c r="F13" s="163" t="s">
        <v>14</v>
      </c>
      <c r="G13" s="165"/>
      <c r="H13" s="164"/>
      <c r="I13" s="86">
        <v>0.03</v>
      </c>
      <c r="K13" s="161" t="s">
        <v>12</v>
      </c>
      <c r="L13" s="162"/>
      <c r="M13" s="80">
        <v>10</v>
      </c>
      <c r="AB13" s="112">
        <v>450</v>
      </c>
      <c r="AD13" s="115">
        <f t="shared" si="2"/>
        <v>1.1000000000000001</v>
      </c>
      <c r="AF13" s="114">
        <f t="shared" si="1"/>
        <v>0.49999999999999994</v>
      </c>
    </row>
    <row r="14" spans="1:39" ht="14.4" x14ac:dyDescent="0.3">
      <c r="A14" s="163" t="s">
        <v>38</v>
      </c>
      <c r="B14" s="164"/>
      <c r="C14" s="62">
        <f>DECAISSEMENTS!E84+DECAISSEMENTS!E85</f>
        <v>0</v>
      </c>
      <c r="F14" s="163" t="s">
        <v>34</v>
      </c>
      <c r="G14" s="165"/>
      <c r="H14" s="164"/>
      <c r="I14" s="86">
        <v>0.17199999999999999</v>
      </c>
      <c r="K14" s="161" t="s">
        <v>191</v>
      </c>
      <c r="L14" s="162"/>
      <c r="M14" s="80"/>
      <c r="AB14" s="112">
        <v>475</v>
      </c>
      <c r="AD14" s="115">
        <f t="shared" si="2"/>
        <v>1.1100000000000001</v>
      </c>
      <c r="AF14" s="114">
        <f t="shared" si="1"/>
        <v>0.54999999999999993</v>
      </c>
    </row>
    <row r="15" spans="1:39" ht="14.4" customHeight="1" x14ac:dyDescent="0.3">
      <c r="A15" s="161" t="s">
        <v>63</v>
      </c>
      <c r="B15" s="162"/>
      <c r="C15" s="62">
        <f>DECAISSEMENTS!E86</f>
        <v>0</v>
      </c>
      <c r="F15" s="172" t="s">
        <v>46</v>
      </c>
      <c r="G15" s="173"/>
      <c r="H15" s="174"/>
      <c r="I15" s="86">
        <v>0.99</v>
      </c>
      <c r="K15"/>
      <c r="L15"/>
      <c r="M15"/>
      <c r="N15"/>
      <c r="AB15" s="112">
        <v>500</v>
      </c>
      <c r="AD15" s="115">
        <f t="shared" si="2"/>
        <v>1.1200000000000001</v>
      </c>
      <c r="AF15" s="117">
        <v>0.57499999999999996</v>
      </c>
    </row>
    <row r="16" spans="1:39" ht="14.4" customHeight="1" x14ac:dyDescent="0.3">
      <c r="A16" s="161" t="s">
        <v>190</v>
      </c>
      <c r="B16" s="162"/>
      <c r="C16" s="62">
        <f>DECAISSEMENTS!E87</f>
        <v>0</v>
      </c>
      <c r="F16" s="63" t="s">
        <v>99</v>
      </c>
      <c r="G16" s="64"/>
      <c r="H16" s="65"/>
      <c r="I16" s="87"/>
      <c r="AB16" s="112">
        <f>AB15+50</f>
        <v>550</v>
      </c>
      <c r="AD16" s="115">
        <f t="shared" si="2"/>
        <v>1.1300000000000001</v>
      </c>
      <c r="AF16" s="114">
        <f>AF14+5%</f>
        <v>0.6</v>
      </c>
    </row>
    <row r="17" spans="1:44" ht="16.95" customHeight="1" x14ac:dyDescent="0.3">
      <c r="AB17" s="112">
        <f>AB16+10</f>
        <v>560</v>
      </c>
      <c r="AD17" s="115">
        <f t="shared" si="2"/>
        <v>1.1400000000000001</v>
      </c>
      <c r="AF17" s="114">
        <f>AF16+5%</f>
        <v>0.65</v>
      </c>
    </row>
    <row r="18" spans="1:44" ht="16.95" customHeight="1" x14ac:dyDescent="0.3">
      <c r="A18" s="166" t="s">
        <v>2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AB18" s="112">
        <f t="shared" ref="AB18:AB47" si="3">AB17+10</f>
        <v>570</v>
      </c>
      <c r="AD18" s="115">
        <f t="shared" si="2"/>
        <v>1.1500000000000001</v>
      </c>
      <c r="AF18" s="114">
        <f>AF17+5%</f>
        <v>0.70000000000000007</v>
      </c>
    </row>
    <row r="19" spans="1:44" ht="16.95" customHeight="1" thickBot="1" x14ac:dyDescent="0.35">
      <c r="AB19" s="112">
        <f t="shared" si="3"/>
        <v>580</v>
      </c>
      <c r="AD19" s="115">
        <f t="shared" si="2"/>
        <v>1.1600000000000001</v>
      </c>
      <c r="AF19" s="114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2">
        <f t="shared" si="3"/>
        <v>590</v>
      </c>
      <c r="AF20" s="114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57" t="s">
        <v>31</v>
      </c>
      <c r="B21" s="158"/>
      <c r="C21" s="127"/>
      <c r="D21" s="60">
        <f>C12*$I$15</f>
        <v>5218.5474000000004</v>
      </c>
      <c r="E21" s="60">
        <f t="shared" ref="E21:W21" si="4">$D$21*(1-perte_prod)^(E20-1)*(1+index_tarif)^(E20-1)</f>
        <v>5218.4169363149995</v>
      </c>
      <c r="F21" s="60">
        <f t="shared" si="4"/>
        <v>5218.2864758915912</v>
      </c>
      <c r="G21" s="60">
        <f t="shared" si="4"/>
        <v>5218.1560187296936</v>
      </c>
      <c r="H21" s="60">
        <f t="shared" si="4"/>
        <v>5218.0255648292232</v>
      </c>
      <c r="I21" s="60">
        <f t="shared" si="4"/>
        <v>5217.8951141901025</v>
      </c>
      <c r="J21" s="60">
        <f t="shared" si="4"/>
        <v>5217.764666812247</v>
      </c>
      <c r="K21" s="60">
        <f t="shared" si="4"/>
        <v>5217.6342226955758</v>
      </c>
      <c r="L21" s="60">
        <f t="shared" si="4"/>
        <v>5217.5037818400078</v>
      </c>
      <c r="M21" s="60">
        <f t="shared" si="4"/>
        <v>5217.3733442454613</v>
      </c>
      <c r="N21" s="60">
        <f t="shared" si="4"/>
        <v>5217.2429099118544</v>
      </c>
      <c r="O21" s="60">
        <f t="shared" si="4"/>
        <v>5217.1124788391062</v>
      </c>
      <c r="P21" s="60">
        <f t="shared" si="4"/>
        <v>5216.9820510271338</v>
      </c>
      <c r="Q21" s="60">
        <f t="shared" si="4"/>
        <v>5216.8516264758573</v>
      </c>
      <c r="R21" s="60">
        <f t="shared" si="4"/>
        <v>5216.7212051851948</v>
      </c>
      <c r="S21" s="60">
        <f t="shared" si="4"/>
        <v>5216.5907871550644</v>
      </c>
      <c r="T21" s="60">
        <f t="shared" si="4"/>
        <v>5216.4603723853852</v>
      </c>
      <c r="U21" s="60">
        <f t="shared" si="4"/>
        <v>5216.3299608760744</v>
      </c>
      <c r="V21" s="60">
        <f t="shared" si="4"/>
        <v>5216.1995526270512</v>
      </c>
      <c r="W21" s="60">
        <f t="shared" si="4"/>
        <v>5216.0691476382353</v>
      </c>
      <c r="AB21" s="112">
        <f t="shared" si="3"/>
        <v>600</v>
      </c>
      <c r="AF21" s="114">
        <f t="shared" ref="AF21:AF24" si="5">AF20+5%</f>
        <v>0.8500000000000002</v>
      </c>
    </row>
    <row r="22" spans="1:44" ht="16.95" customHeight="1" x14ac:dyDescent="0.3">
      <c r="A22" s="157" t="s">
        <v>1</v>
      </c>
      <c r="B22" s="158"/>
      <c r="C22" s="127"/>
      <c r="D22" s="60">
        <f>C14+C13</f>
        <v>762</v>
      </c>
      <c r="E22" s="60">
        <f t="shared" ref="E22:M22" si="6">$C$13*(1+inflation)^(E20-1)</f>
        <v>769.62</v>
      </c>
      <c r="F22" s="60">
        <f t="shared" si="6"/>
        <v>777.31619999999998</v>
      </c>
      <c r="G22" s="60">
        <f t="shared" si="6"/>
        <v>785.08936199999994</v>
      </c>
      <c r="H22" s="60">
        <f t="shared" si="6"/>
        <v>792.94025562000002</v>
      </c>
      <c r="I22" s="60">
        <f t="shared" si="6"/>
        <v>800.86965817619989</v>
      </c>
      <c r="J22" s="60">
        <f t="shared" si="6"/>
        <v>808.87835475796214</v>
      </c>
      <c r="K22" s="60">
        <f t="shared" si="6"/>
        <v>816.96713830554154</v>
      </c>
      <c r="L22" s="60">
        <f t="shared" si="6"/>
        <v>825.13680968859717</v>
      </c>
      <c r="M22" s="60">
        <f t="shared" si="6"/>
        <v>833.38817778548321</v>
      </c>
      <c r="N22" s="60">
        <f>(C15+C13+C16/5)*(1+inflation)^(N20-1)</f>
        <v>841.72205956333801</v>
      </c>
      <c r="O22" s="60">
        <f>($C$13+C16/5)*(1+inflation)^(O20-1)</f>
        <v>850.13928015897125</v>
      </c>
      <c r="P22" s="60">
        <f>($C$13+C16/5)*(1+inflation)^(P20-1)</f>
        <v>858.64067296056101</v>
      </c>
      <c r="Q22" s="60">
        <f>($C$13+C16/5)*(1+inflation)^(Q20-1)</f>
        <v>867.22707969016665</v>
      </c>
      <c r="R22" s="60">
        <f>($C$13+C16/5)*(1+inflation)^(R20-1)</f>
        <v>875.89935048706843</v>
      </c>
      <c r="S22" s="60">
        <f t="shared" ref="S22:W22" si="7">$C$13*(1+inflation)^(S20-1)</f>
        <v>884.65834399193886</v>
      </c>
      <c r="T22" s="60">
        <f t="shared" si="7"/>
        <v>893.5049274318585</v>
      </c>
      <c r="U22" s="60">
        <f t="shared" si="7"/>
        <v>902.43997670617716</v>
      </c>
      <c r="V22" s="60">
        <f t="shared" si="7"/>
        <v>911.46437647323887</v>
      </c>
      <c r="W22" s="60">
        <f t="shared" si="7"/>
        <v>920.57902023797112</v>
      </c>
      <c r="AB22" s="112">
        <f t="shared" si="3"/>
        <v>610</v>
      </c>
      <c r="AF22" s="114">
        <f t="shared" si="5"/>
        <v>0.90000000000000024</v>
      </c>
    </row>
    <row r="23" spans="1:44" s="67" customFormat="1" ht="16.95" customHeight="1" x14ac:dyDescent="0.3">
      <c r="A23" s="159" t="s">
        <v>5</v>
      </c>
      <c r="B23" s="160"/>
      <c r="C23" s="129"/>
      <c r="D23" s="66">
        <f>D21-D22</f>
        <v>4456.5474000000004</v>
      </c>
      <c r="E23" s="66">
        <f t="shared" ref="E23:W23" si="8">E21-E22</f>
        <v>4448.7969363149996</v>
      </c>
      <c r="F23" s="66">
        <f t="shared" si="8"/>
        <v>4440.970275891591</v>
      </c>
      <c r="G23" s="66">
        <f t="shared" si="8"/>
        <v>4433.0666567296939</v>
      </c>
      <c r="H23" s="66">
        <f t="shared" si="8"/>
        <v>4425.0853092092229</v>
      </c>
      <c r="I23" s="66">
        <f t="shared" si="8"/>
        <v>4417.0254560139028</v>
      </c>
      <c r="J23" s="66">
        <f t="shared" si="8"/>
        <v>4408.8863120542846</v>
      </c>
      <c r="K23" s="66">
        <f t="shared" si="8"/>
        <v>4400.6670843900338</v>
      </c>
      <c r="L23" s="66">
        <f t="shared" si="8"/>
        <v>4392.3669721514107</v>
      </c>
      <c r="M23" s="66">
        <f t="shared" si="8"/>
        <v>4383.9851664599782</v>
      </c>
      <c r="N23" s="66">
        <f t="shared" si="8"/>
        <v>4375.5208503485164</v>
      </c>
      <c r="O23" s="66">
        <f t="shared" si="8"/>
        <v>4366.9731986801353</v>
      </c>
      <c r="P23" s="66">
        <f t="shared" si="8"/>
        <v>4358.3413780665724</v>
      </c>
      <c r="Q23" s="66">
        <f t="shared" si="8"/>
        <v>4349.6245467856907</v>
      </c>
      <c r="R23" s="66">
        <f t="shared" si="8"/>
        <v>4340.8218546981261</v>
      </c>
      <c r="S23" s="66">
        <f t="shared" si="8"/>
        <v>4331.9324431631258</v>
      </c>
      <c r="T23" s="66">
        <f t="shared" si="8"/>
        <v>4322.9554449535262</v>
      </c>
      <c r="U23" s="66">
        <f t="shared" si="8"/>
        <v>4313.8899841698976</v>
      </c>
      <c r="V23" s="66">
        <f t="shared" si="8"/>
        <v>4304.7351761538121</v>
      </c>
      <c r="W23" s="66">
        <f t="shared" si="8"/>
        <v>4295.4901274002641</v>
      </c>
      <c r="AA23" s="112"/>
      <c r="AB23" s="112">
        <f t="shared" si="3"/>
        <v>620</v>
      </c>
      <c r="AC23" s="112"/>
      <c r="AD23" s="112"/>
      <c r="AE23" s="112"/>
      <c r="AF23" s="114">
        <f t="shared" si="5"/>
        <v>0.95000000000000029</v>
      </c>
      <c r="AG23" s="112"/>
      <c r="AH23" s="112"/>
      <c r="AI23" s="112"/>
    </row>
    <row r="24" spans="1:44" ht="16.95" customHeight="1" x14ac:dyDescent="0.3">
      <c r="A24" s="157" t="s">
        <v>84</v>
      </c>
      <c r="B24" s="158"/>
      <c r="C24" s="127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2">
        <f t="shared" si="3"/>
        <v>630</v>
      </c>
      <c r="AF24" s="114">
        <f t="shared" si="5"/>
        <v>1.0000000000000002</v>
      </c>
    </row>
    <row r="25" spans="1:44" s="67" customFormat="1" ht="16.95" customHeight="1" x14ac:dyDescent="0.3">
      <c r="A25" s="159" t="s">
        <v>6</v>
      </c>
      <c r="B25" s="160"/>
      <c r="C25" s="129"/>
      <c r="D25" s="66">
        <f>D23-D24</f>
        <v>4456.5474000000004</v>
      </c>
      <c r="E25" s="66">
        <f t="shared" ref="E25:I25" si="10">E23-E24</f>
        <v>4448.7969363149996</v>
      </c>
      <c r="F25" s="66">
        <f t="shared" si="10"/>
        <v>4440.970275891591</v>
      </c>
      <c r="G25" s="66">
        <f t="shared" si="10"/>
        <v>4433.0666567296939</v>
      </c>
      <c r="H25" s="66">
        <f t="shared" si="10"/>
        <v>4425.0853092092229</v>
      </c>
      <c r="I25" s="66">
        <f t="shared" si="10"/>
        <v>4417.0254560139028</v>
      </c>
      <c r="J25" s="66">
        <f t="shared" ref="J25" si="11">J23-J24</f>
        <v>4408.8863120542846</v>
      </c>
      <c r="K25" s="66">
        <f t="shared" ref="K25" si="12">K23-K24</f>
        <v>4400.6670843900338</v>
      </c>
      <c r="L25" s="66">
        <f t="shared" ref="L25" si="13">L23-L24</f>
        <v>4392.3669721514107</v>
      </c>
      <c r="M25" s="66">
        <f t="shared" ref="M25" si="14">M23-M24</f>
        <v>4383.9851664599782</v>
      </c>
      <c r="N25" s="66">
        <f t="shared" ref="N25" si="15">N23-N24</f>
        <v>4375.5208503485164</v>
      </c>
      <c r="O25" s="66">
        <f t="shared" ref="O25" si="16">O23-O24</f>
        <v>4366.9731986801353</v>
      </c>
      <c r="P25" s="66">
        <f t="shared" ref="P25" si="17">P23-P24</f>
        <v>4358.3413780665724</v>
      </c>
      <c r="Q25" s="66">
        <f t="shared" ref="Q25" si="18">Q23-Q24</f>
        <v>4349.6245467856907</v>
      </c>
      <c r="R25" s="66">
        <f t="shared" ref="R25" si="19">R23-R24</f>
        <v>4340.8218546981261</v>
      </c>
      <c r="S25" s="66">
        <f t="shared" ref="S25" si="20">S23-S24</f>
        <v>4331.9324431631258</v>
      </c>
      <c r="T25" s="66">
        <f t="shared" ref="T25" si="21">T23-T24</f>
        <v>4322.9554449535262</v>
      </c>
      <c r="U25" s="66">
        <f t="shared" ref="U25" si="22">U23-U24</f>
        <v>4313.8899841698976</v>
      </c>
      <c r="V25" s="66">
        <f t="shared" ref="V25" si="23">V23-V24</f>
        <v>4304.7351761538121</v>
      </c>
      <c r="W25" s="66">
        <f t="shared" ref="W25" si="24">W23-W24</f>
        <v>4295.4901274002641</v>
      </c>
      <c r="AA25" s="112"/>
      <c r="AB25" s="112">
        <f t="shared" si="3"/>
        <v>640</v>
      </c>
      <c r="AC25" s="112"/>
      <c r="AD25" s="112"/>
      <c r="AE25" s="112"/>
      <c r="AF25" s="114"/>
      <c r="AG25" s="112"/>
      <c r="AH25" s="112"/>
      <c r="AI25" s="112"/>
    </row>
    <row r="26" spans="1:44" ht="16.95" customHeight="1" x14ac:dyDescent="0.3">
      <c r="A26" s="157" t="s">
        <v>7</v>
      </c>
      <c r="B26" s="158"/>
      <c r="C26" s="127"/>
      <c r="D26" s="60">
        <f>($C$11-$M$14)/20</f>
        <v>2085</v>
      </c>
      <c r="E26" s="60">
        <f t="shared" ref="E26:W26" si="25">($C$11-$M$14)/20</f>
        <v>2085</v>
      </c>
      <c r="F26" s="60">
        <f t="shared" si="25"/>
        <v>2085</v>
      </c>
      <c r="G26" s="60">
        <f t="shared" si="25"/>
        <v>2085</v>
      </c>
      <c r="H26" s="60">
        <f t="shared" si="25"/>
        <v>2085</v>
      </c>
      <c r="I26" s="60">
        <f t="shared" si="25"/>
        <v>2085</v>
      </c>
      <c r="J26" s="60">
        <f t="shared" si="25"/>
        <v>2085</v>
      </c>
      <c r="K26" s="60">
        <f t="shared" si="25"/>
        <v>2085</v>
      </c>
      <c r="L26" s="60">
        <f t="shared" si="25"/>
        <v>2085</v>
      </c>
      <c r="M26" s="60">
        <f t="shared" si="25"/>
        <v>2085</v>
      </c>
      <c r="N26" s="60">
        <f t="shared" si="25"/>
        <v>2085</v>
      </c>
      <c r="O26" s="60">
        <f t="shared" si="25"/>
        <v>2085</v>
      </c>
      <c r="P26" s="60">
        <f t="shared" si="25"/>
        <v>2085</v>
      </c>
      <c r="Q26" s="60">
        <f t="shared" si="25"/>
        <v>2085</v>
      </c>
      <c r="R26" s="60">
        <f t="shared" si="25"/>
        <v>2085</v>
      </c>
      <c r="S26" s="60">
        <f t="shared" si="25"/>
        <v>2085</v>
      </c>
      <c r="T26" s="60">
        <f t="shared" si="25"/>
        <v>2085</v>
      </c>
      <c r="U26" s="60">
        <f t="shared" si="25"/>
        <v>2085</v>
      </c>
      <c r="V26" s="60">
        <f t="shared" si="25"/>
        <v>2085</v>
      </c>
      <c r="W26" s="60">
        <f t="shared" si="25"/>
        <v>2085</v>
      </c>
      <c r="AB26" s="112">
        <f t="shared" si="3"/>
        <v>650</v>
      </c>
      <c r="AF26" s="114"/>
    </row>
    <row r="27" spans="1:44" ht="14.4" x14ac:dyDescent="0.3">
      <c r="A27" s="158" t="s">
        <v>8</v>
      </c>
      <c r="B27" s="170"/>
      <c r="C27" s="128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2">
        <f t="shared" si="3"/>
        <v>660</v>
      </c>
      <c r="AF27" s="114"/>
    </row>
    <row r="28" spans="1:44" s="67" customFormat="1" ht="16.95" customHeight="1" x14ac:dyDescent="0.3">
      <c r="A28" s="159" t="s">
        <v>9</v>
      </c>
      <c r="B28" s="160"/>
      <c r="C28" s="129"/>
      <c r="D28" s="66">
        <f t="shared" ref="D28:W28" si="26">D25-D26-D27</f>
        <v>2371.5474000000004</v>
      </c>
      <c r="E28" s="66">
        <f t="shared" si="26"/>
        <v>2363.7969363149996</v>
      </c>
      <c r="F28" s="66">
        <f t="shared" si="26"/>
        <v>2355.970275891591</v>
      </c>
      <c r="G28" s="66">
        <f t="shared" si="26"/>
        <v>2348.0666567296939</v>
      </c>
      <c r="H28" s="66">
        <f t="shared" si="26"/>
        <v>2340.0853092092229</v>
      </c>
      <c r="I28" s="66">
        <f t="shared" si="26"/>
        <v>2332.0254560139028</v>
      </c>
      <c r="J28" s="66">
        <f t="shared" si="26"/>
        <v>2323.8863120542846</v>
      </c>
      <c r="K28" s="66">
        <f t="shared" si="26"/>
        <v>2315.6670843900338</v>
      </c>
      <c r="L28" s="66">
        <f t="shared" si="26"/>
        <v>2307.3669721514107</v>
      </c>
      <c r="M28" s="66">
        <f t="shared" si="26"/>
        <v>2298.9851664599782</v>
      </c>
      <c r="N28" s="66">
        <f t="shared" si="26"/>
        <v>2290.5208503485164</v>
      </c>
      <c r="O28" s="66">
        <f t="shared" si="26"/>
        <v>2281.9731986801353</v>
      </c>
      <c r="P28" s="66">
        <f t="shared" si="26"/>
        <v>2273.3413780665724</v>
      </c>
      <c r="Q28" s="66">
        <f t="shared" si="26"/>
        <v>2264.6245467856907</v>
      </c>
      <c r="R28" s="66">
        <f t="shared" si="26"/>
        <v>2255.8218546981261</v>
      </c>
      <c r="S28" s="66">
        <f t="shared" si="26"/>
        <v>2246.9324431631258</v>
      </c>
      <c r="T28" s="66">
        <f t="shared" si="26"/>
        <v>2237.9554449535262</v>
      </c>
      <c r="U28" s="66">
        <f t="shared" si="26"/>
        <v>2228.8899841698976</v>
      </c>
      <c r="V28" s="66">
        <f t="shared" si="26"/>
        <v>2219.7351761538121</v>
      </c>
      <c r="W28" s="66">
        <f t="shared" si="26"/>
        <v>2210.4901274002641</v>
      </c>
      <c r="AA28" s="112"/>
      <c r="AB28" s="112">
        <f t="shared" si="3"/>
        <v>670</v>
      </c>
      <c r="AC28" s="112"/>
      <c r="AD28" s="112"/>
      <c r="AE28" s="112"/>
      <c r="AF28" s="114"/>
      <c r="AG28" s="112"/>
      <c r="AH28" s="112"/>
      <c r="AI28" s="112"/>
    </row>
    <row r="29" spans="1:44" ht="16.95" customHeight="1" x14ac:dyDescent="0.3">
      <c r="A29" s="175" t="s">
        <v>13</v>
      </c>
      <c r="B29" s="176"/>
      <c r="C29" s="126"/>
      <c r="D29" s="60">
        <f t="shared" ref="D29:W29" si="27">IF(D20&lt;=$M$13,-IPMT($M$12,D20,$M$13,$M$11),0)</f>
        <v>0.153</v>
      </c>
      <c r="E29" s="60">
        <f t="shared" si="27"/>
        <v>0.13830947288499437</v>
      </c>
      <c r="F29" s="60">
        <f t="shared" si="27"/>
        <v>0.12348673102595377</v>
      </c>
      <c r="G29" s="60">
        <f t="shared" si="27"/>
        <v>0.10853058449018178</v>
      </c>
      <c r="H29" s="60">
        <f t="shared" si="27"/>
        <v>9.3439832635587833E-2</v>
      </c>
      <c r="I29" s="60">
        <f t="shared" si="27"/>
        <v>7.8213264014302564E-2</v>
      </c>
      <c r="J29" s="60">
        <f t="shared" si="27"/>
        <v>6.2849656275425686E-2</v>
      </c>
      <c r="K29" s="60">
        <f t="shared" si="27"/>
        <v>4.7347776066898939E-2</v>
      </c>
      <c r="L29" s="60">
        <f t="shared" si="27"/>
        <v>3.1706378936495444E-2</v>
      </c>
      <c r="M29" s="60">
        <f t="shared" si="27"/>
        <v>1.592420923191832E-2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2">
        <f t="shared" si="3"/>
        <v>680</v>
      </c>
      <c r="AF29" s="114"/>
    </row>
    <row r="30" spans="1:44" ht="14.4" x14ac:dyDescent="0.3">
      <c r="A30" s="157" t="s">
        <v>64</v>
      </c>
      <c r="B30" s="158"/>
      <c r="C30" s="127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2">
        <f t="shared" si="3"/>
        <v>690</v>
      </c>
      <c r="AF30" s="114"/>
    </row>
    <row r="31" spans="1:44" s="67" customFormat="1" ht="16.95" customHeight="1" x14ac:dyDescent="0.3">
      <c r="A31" s="159" t="s">
        <v>10</v>
      </c>
      <c r="B31" s="160"/>
      <c r="C31" s="129"/>
      <c r="D31" s="66">
        <f t="shared" ref="D31:W31" si="29">D28-D29-D30</f>
        <v>2371.3944000000006</v>
      </c>
      <c r="E31" s="66">
        <f t="shared" si="29"/>
        <v>2363.6586268421147</v>
      </c>
      <c r="F31" s="66">
        <f t="shared" si="29"/>
        <v>2355.8467891605651</v>
      </c>
      <c r="G31" s="66">
        <f t="shared" si="29"/>
        <v>2347.9581261452036</v>
      </c>
      <c r="H31" s="66">
        <f t="shared" si="29"/>
        <v>2339.9918693765871</v>
      </c>
      <c r="I31" s="66">
        <f t="shared" si="29"/>
        <v>2331.9472427498886</v>
      </c>
      <c r="J31" s="66">
        <f t="shared" si="29"/>
        <v>2323.8234623980093</v>
      </c>
      <c r="K31" s="66">
        <f t="shared" si="29"/>
        <v>2315.6197366139668</v>
      </c>
      <c r="L31" s="66">
        <f t="shared" si="29"/>
        <v>2307.335265772474</v>
      </c>
      <c r="M31" s="66">
        <f t="shared" si="29"/>
        <v>2298.9692422507464</v>
      </c>
      <c r="N31" s="66">
        <f t="shared" si="29"/>
        <v>2290.5208503485164</v>
      </c>
      <c r="O31" s="66">
        <f t="shared" si="29"/>
        <v>2281.9731986801353</v>
      </c>
      <c r="P31" s="66">
        <f t="shared" si="29"/>
        <v>2273.3413780665724</v>
      </c>
      <c r="Q31" s="66">
        <f t="shared" si="29"/>
        <v>2264.6245467856907</v>
      </c>
      <c r="R31" s="66">
        <f t="shared" si="29"/>
        <v>2255.8218546981261</v>
      </c>
      <c r="S31" s="66">
        <f t="shared" si="29"/>
        <v>2246.9324431631258</v>
      </c>
      <c r="T31" s="66">
        <f t="shared" si="29"/>
        <v>2237.9554449535262</v>
      </c>
      <c r="U31" s="66">
        <f t="shared" si="29"/>
        <v>2228.8899841698976</v>
      </c>
      <c r="V31" s="66">
        <f t="shared" si="29"/>
        <v>2219.7351761538121</v>
      </c>
      <c r="W31" s="66">
        <f t="shared" si="29"/>
        <v>2210.4901274002641</v>
      </c>
      <c r="AA31" s="112"/>
      <c r="AB31" s="112">
        <f t="shared" si="3"/>
        <v>700</v>
      </c>
      <c r="AC31" s="112"/>
      <c r="AD31" s="112"/>
      <c r="AE31" s="112"/>
      <c r="AF31" s="114"/>
      <c r="AG31" s="112"/>
      <c r="AH31" s="112"/>
      <c r="AI31" s="112"/>
    </row>
    <row r="32" spans="1:44" ht="14.4" x14ac:dyDescent="0.3">
      <c r="A32" s="157" t="s">
        <v>47</v>
      </c>
      <c r="B32" s="158"/>
      <c r="C32" s="127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2">
        <f t="shared" si="3"/>
        <v>710</v>
      </c>
      <c r="AF32" s="114"/>
    </row>
    <row r="33" spans="1:35" ht="14.4" x14ac:dyDescent="0.3">
      <c r="A33" s="157" t="s">
        <v>82</v>
      </c>
      <c r="B33" s="158"/>
      <c r="C33" s="127"/>
      <c r="D33" s="60">
        <f>IF(D31&lt;0,0,IF(D31&lt;38120,IF(B4="SAS",0.15*D31,0.15*D31*(1-I11)),IF(B4="SAS",0.33*D31,0.33*D31*(1-I11))))</f>
        <v>151.17639300000005</v>
      </c>
      <c r="E33" s="60">
        <f>IF(E31+D32&lt;0,0,IF(E31&lt;38120,IF($B$4="SAS",0.15*(E31+D32),0.15*(E31+D32)*(1-$I$11)),IF($B$4="SAS",0.33*(E31+D32),0.33*(1-$I$11)*(E31+D32))))</f>
        <v>150.68323746118483</v>
      </c>
      <c r="F33" s="60">
        <f>IF(F31+E32&lt;0,0,IF(F31&lt;38120,IF($B$4="SAS",0.15*(F31+E32),0.15*(F31+E32)*(1-$I$11)),IF($B$4="SAS",0.33*(F31+E32),0.33*(1-$I$11)*(F31+E32))))</f>
        <v>150.18523280898603</v>
      </c>
      <c r="G33" s="60">
        <f t="shared" ref="G33:W33" si="41">IF(G31+F32&lt;0,0,IF(G31&lt;38120,IF($B$4="SAS",0.15*(G31+F32),0.15*(G31+F32)*(1-$I$12)),IF($B$4="SAS",0.33*(G31+F32),0.33*(1-$I$12)*(G31+F32))))</f>
        <v>149.68233054175676</v>
      </c>
      <c r="H33" s="60">
        <f t="shared" si="41"/>
        <v>149.17448167275742</v>
      </c>
      <c r="I33" s="60">
        <f t="shared" si="41"/>
        <v>148.66163672530541</v>
      </c>
      <c r="J33" s="60">
        <f t="shared" si="41"/>
        <v>148.1437457278731</v>
      </c>
      <c r="K33" s="60">
        <f t="shared" si="41"/>
        <v>147.6207582091404</v>
      </c>
      <c r="L33" s="60">
        <f t="shared" si="41"/>
        <v>147.09262319299523</v>
      </c>
      <c r="M33" s="60">
        <f t="shared" si="41"/>
        <v>146.55928919348509</v>
      </c>
      <c r="N33" s="60">
        <f t="shared" si="41"/>
        <v>146.02070420971793</v>
      </c>
      <c r="O33" s="60">
        <f t="shared" si="41"/>
        <v>145.47579141585862</v>
      </c>
      <c r="P33" s="60">
        <f t="shared" si="41"/>
        <v>144.925512851744</v>
      </c>
      <c r="Q33" s="60">
        <f t="shared" si="41"/>
        <v>144.36981485758778</v>
      </c>
      <c r="R33" s="60">
        <f t="shared" si="41"/>
        <v>143.80864323700555</v>
      </c>
      <c r="S33" s="60">
        <f t="shared" si="41"/>
        <v>143.24194325164927</v>
      </c>
      <c r="T33" s="60">
        <f t="shared" si="41"/>
        <v>142.66965961578731</v>
      </c>
      <c r="U33" s="60">
        <f t="shared" si="41"/>
        <v>142.09173649083098</v>
      </c>
      <c r="V33" s="60">
        <f t="shared" si="41"/>
        <v>141.50811747980552</v>
      </c>
      <c r="W33" s="60">
        <f t="shared" si="41"/>
        <v>140.91874562176685</v>
      </c>
      <c r="AB33" s="112">
        <f t="shared" si="3"/>
        <v>720</v>
      </c>
      <c r="AF33" s="114"/>
    </row>
    <row r="34" spans="1:35" s="67" customFormat="1" ht="16.95" customHeight="1" x14ac:dyDescent="0.3">
      <c r="A34" s="159" t="s">
        <v>11</v>
      </c>
      <c r="B34" s="160"/>
      <c r="C34" s="129"/>
      <c r="D34" s="66">
        <f t="shared" ref="D34:W34" si="42">D31-D33</f>
        <v>2220.2180070000004</v>
      </c>
      <c r="E34" s="66">
        <f t="shared" si="42"/>
        <v>2212.9753893809298</v>
      </c>
      <c r="F34" s="66">
        <f t="shared" si="42"/>
        <v>2205.6615563515788</v>
      </c>
      <c r="G34" s="66">
        <f t="shared" si="42"/>
        <v>2198.2757956034466</v>
      </c>
      <c r="H34" s="66">
        <f t="shared" si="42"/>
        <v>2190.8173877038298</v>
      </c>
      <c r="I34" s="66">
        <f t="shared" si="42"/>
        <v>2183.2856060245831</v>
      </c>
      <c r="J34" s="66">
        <f t="shared" si="42"/>
        <v>2175.6797166701363</v>
      </c>
      <c r="K34" s="66">
        <f t="shared" si="42"/>
        <v>2167.9989784048262</v>
      </c>
      <c r="L34" s="66">
        <f t="shared" si="42"/>
        <v>2160.2426425794788</v>
      </c>
      <c r="M34" s="66">
        <f t="shared" si="42"/>
        <v>2152.4099530572612</v>
      </c>
      <c r="N34" s="66">
        <f t="shared" si="42"/>
        <v>2144.5001461387983</v>
      </c>
      <c r="O34" s="66">
        <f t="shared" si="42"/>
        <v>2136.4974072642767</v>
      </c>
      <c r="P34" s="66">
        <f t="shared" si="42"/>
        <v>2128.4158652148285</v>
      </c>
      <c r="Q34" s="66">
        <f t="shared" si="42"/>
        <v>2120.254731928103</v>
      </c>
      <c r="R34" s="66">
        <f t="shared" si="42"/>
        <v>2112.0132114611206</v>
      </c>
      <c r="S34" s="66">
        <f t="shared" si="42"/>
        <v>2103.6904999114763</v>
      </c>
      <c r="T34" s="66">
        <f t="shared" si="42"/>
        <v>2095.2857853377391</v>
      </c>
      <c r="U34" s="66">
        <f t="shared" si="42"/>
        <v>2086.7982476790667</v>
      </c>
      <c r="V34" s="66">
        <f t="shared" si="42"/>
        <v>2078.2270586740065</v>
      </c>
      <c r="W34" s="66">
        <f t="shared" si="42"/>
        <v>2069.5713817784972</v>
      </c>
      <c r="X34" s="156"/>
      <c r="AA34" s="112"/>
      <c r="AB34" s="112">
        <f t="shared" si="3"/>
        <v>730</v>
      </c>
      <c r="AC34" s="112"/>
      <c r="AD34" s="112"/>
      <c r="AE34" s="112"/>
      <c r="AF34" s="114"/>
      <c r="AG34" s="112"/>
      <c r="AH34" s="112"/>
      <c r="AI34" s="112"/>
    </row>
    <row r="35" spans="1:35" s="70" customFormat="1" ht="16.95" customHeight="1" x14ac:dyDescent="0.3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8"/>
      <c r="AB35" s="112">
        <f t="shared" si="3"/>
        <v>740</v>
      </c>
      <c r="AC35" s="118"/>
      <c r="AD35" s="118"/>
      <c r="AE35" s="118"/>
      <c r="AF35" s="118"/>
      <c r="AG35" s="118"/>
      <c r="AH35" s="118"/>
      <c r="AI35" s="118"/>
    </row>
    <row r="36" spans="1:35" ht="16.95" customHeight="1" x14ac:dyDescent="0.3">
      <c r="A36" s="157" t="s">
        <v>32</v>
      </c>
      <c r="B36" s="158"/>
      <c r="C36" s="127"/>
      <c r="D36" s="60">
        <f t="shared" ref="D36:W36" si="43">D34+D27+D26</f>
        <v>4305.2180070000004</v>
      </c>
      <c r="E36" s="60">
        <f t="shared" si="43"/>
        <v>4297.9753893809302</v>
      </c>
      <c r="F36" s="60">
        <f t="shared" si="43"/>
        <v>4290.6615563515788</v>
      </c>
      <c r="G36" s="60">
        <f t="shared" si="43"/>
        <v>4283.2757956034466</v>
      </c>
      <c r="H36" s="60">
        <f t="shared" si="43"/>
        <v>4275.8173877038298</v>
      </c>
      <c r="I36" s="60">
        <f t="shared" si="43"/>
        <v>4268.2856060245831</v>
      </c>
      <c r="J36" s="60">
        <f t="shared" si="43"/>
        <v>4260.6797166701363</v>
      </c>
      <c r="K36" s="60">
        <f t="shared" si="43"/>
        <v>4252.9989784048266</v>
      </c>
      <c r="L36" s="60">
        <f t="shared" si="43"/>
        <v>4245.2426425794783</v>
      </c>
      <c r="M36" s="60">
        <f t="shared" si="43"/>
        <v>4237.4099530572612</v>
      </c>
      <c r="N36" s="60">
        <f t="shared" si="43"/>
        <v>4229.5001461387983</v>
      </c>
      <c r="O36" s="60">
        <f t="shared" si="43"/>
        <v>4221.4974072642763</v>
      </c>
      <c r="P36" s="60">
        <f t="shared" si="43"/>
        <v>4213.415865214829</v>
      </c>
      <c r="Q36" s="60">
        <f t="shared" si="43"/>
        <v>4205.254731928103</v>
      </c>
      <c r="R36" s="60">
        <f t="shared" si="43"/>
        <v>4197.0132114611206</v>
      </c>
      <c r="S36" s="60">
        <f t="shared" si="43"/>
        <v>4188.6904999114759</v>
      </c>
      <c r="T36" s="60">
        <f t="shared" si="43"/>
        <v>4180.2857853377391</v>
      </c>
      <c r="U36" s="60">
        <f t="shared" si="43"/>
        <v>4171.7982476790667</v>
      </c>
      <c r="V36" s="60">
        <f t="shared" si="43"/>
        <v>4163.2270586740069</v>
      </c>
      <c r="W36" s="60">
        <f t="shared" si="43"/>
        <v>4154.5713817784972</v>
      </c>
      <c r="AB36" s="112">
        <f t="shared" si="3"/>
        <v>750</v>
      </c>
      <c r="AF36" s="114"/>
    </row>
    <row r="37" spans="1:35" ht="14.4" x14ac:dyDescent="0.3">
      <c r="A37" s="158" t="s">
        <v>21</v>
      </c>
      <c r="B37" s="170"/>
      <c r="C37" s="133">
        <f>-C11+M14</f>
        <v>-41700</v>
      </c>
      <c r="D37" s="60">
        <f>D36+D30+D29</f>
        <v>4305.3710070000006</v>
      </c>
      <c r="E37" s="60">
        <f>E36+E30+E29</f>
        <v>4298.1136988538155</v>
      </c>
      <c r="F37" s="60">
        <f t="shared" ref="F37:W37" si="44">F36+F30+F29</f>
        <v>4290.7850430826047</v>
      </c>
      <c r="G37" s="60">
        <f t="shared" si="44"/>
        <v>4283.3843261879365</v>
      </c>
      <c r="H37" s="60">
        <f t="shared" si="44"/>
        <v>4275.9108275364651</v>
      </c>
      <c r="I37" s="60">
        <f t="shared" si="44"/>
        <v>4268.3638192885974</v>
      </c>
      <c r="J37" s="60">
        <f t="shared" si="44"/>
        <v>4260.7425663264121</v>
      </c>
      <c r="K37" s="60">
        <f t="shared" si="44"/>
        <v>4253.0463261808936</v>
      </c>
      <c r="L37" s="60">
        <f t="shared" si="44"/>
        <v>4245.2743489584145</v>
      </c>
      <c r="M37" s="60">
        <f t="shared" si="44"/>
        <v>4237.4258772664934</v>
      </c>
      <c r="N37" s="60">
        <f t="shared" si="44"/>
        <v>4229.5001461387983</v>
      </c>
      <c r="O37" s="60">
        <f t="shared" si="44"/>
        <v>4221.4974072642763</v>
      </c>
      <c r="P37" s="60">
        <f t="shared" si="44"/>
        <v>4213.415865214829</v>
      </c>
      <c r="Q37" s="60">
        <f t="shared" si="44"/>
        <v>4205.254731928103</v>
      </c>
      <c r="R37" s="60">
        <f t="shared" si="44"/>
        <v>4197.0132114611206</v>
      </c>
      <c r="S37" s="60">
        <f t="shared" si="44"/>
        <v>4188.6904999114759</v>
      </c>
      <c r="T37" s="60">
        <f t="shared" si="44"/>
        <v>4180.2857853377391</v>
      </c>
      <c r="U37" s="60">
        <f t="shared" si="44"/>
        <v>4171.7982476790667</v>
      </c>
      <c r="V37" s="60">
        <f t="shared" si="44"/>
        <v>4163.2270586740069</v>
      </c>
      <c r="W37" s="60">
        <f t="shared" si="44"/>
        <v>4154.5713817784972</v>
      </c>
      <c r="AB37" s="112">
        <f t="shared" si="3"/>
        <v>760</v>
      </c>
      <c r="AF37" s="114"/>
    </row>
    <row r="38" spans="1:35" ht="14.4" x14ac:dyDescent="0.3">
      <c r="A38" s="171" t="s">
        <v>174</v>
      </c>
      <c r="B38" s="171"/>
      <c r="C38" s="135">
        <f>-M8-Q8</f>
        <v>-42100</v>
      </c>
      <c r="D38" s="60">
        <f>D36</f>
        <v>4305.2180070000004</v>
      </c>
      <c r="E38" s="60">
        <f t="shared" ref="E38:W38" si="45">E36</f>
        <v>4297.9753893809302</v>
      </c>
      <c r="F38" s="60">
        <f t="shared" si="45"/>
        <v>4290.6615563515788</v>
      </c>
      <c r="G38" s="60">
        <f t="shared" si="45"/>
        <v>4283.2757956034466</v>
      </c>
      <c r="H38" s="60">
        <f t="shared" si="45"/>
        <v>4275.8173877038298</v>
      </c>
      <c r="I38" s="60">
        <f t="shared" si="45"/>
        <v>4268.2856060245831</v>
      </c>
      <c r="J38" s="60">
        <f t="shared" si="45"/>
        <v>4260.6797166701363</v>
      </c>
      <c r="K38" s="60">
        <f t="shared" si="45"/>
        <v>4252.9989784048266</v>
      </c>
      <c r="L38" s="60">
        <f t="shared" si="45"/>
        <v>4245.2426425794783</v>
      </c>
      <c r="M38" s="60">
        <f t="shared" si="45"/>
        <v>4237.4099530572612</v>
      </c>
      <c r="N38" s="60">
        <f t="shared" si="45"/>
        <v>4229.5001461387983</v>
      </c>
      <c r="O38" s="60">
        <f t="shared" si="45"/>
        <v>4221.4974072642763</v>
      </c>
      <c r="P38" s="60">
        <f t="shared" si="45"/>
        <v>4213.415865214829</v>
      </c>
      <c r="Q38" s="60">
        <f t="shared" si="45"/>
        <v>4205.254731928103</v>
      </c>
      <c r="R38" s="60">
        <f t="shared" si="45"/>
        <v>4197.0132114611206</v>
      </c>
      <c r="S38" s="60">
        <f t="shared" si="45"/>
        <v>4188.6904999114759</v>
      </c>
      <c r="T38" s="60">
        <f t="shared" si="45"/>
        <v>4180.2857853377391</v>
      </c>
      <c r="U38" s="60">
        <f t="shared" si="45"/>
        <v>4171.7982476790667</v>
      </c>
      <c r="V38" s="60">
        <f t="shared" si="45"/>
        <v>4163.2270586740069</v>
      </c>
      <c r="W38" s="60">
        <f t="shared" si="45"/>
        <v>4154.5713817784972</v>
      </c>
      <c r="AB38" s="112">
        <f t="shared" si="3"/>
        <v>770</v>
      </c>
      <c r="AF38" s="114"/>
    </row>
    <row r="39" spans="1:35" ht="16.95" customHeight="1" x14ac:dyDescent="0.3">
      <c r="A39" s="157" t="s">
        <v>15</v>
      </c>
      <c r="B39" s="158"/>
      <c r="C39" s="127"/>
      <c r="D39" s="60">
        <f t="shared" ref="D39:W39" si="46">D36*(1+taux_actu)^-(D20-1)</f>
        <v>4305.2180070000004</v>
      </c>
      <c r="E39" s="60">
        <f t="shared" si="46"/>
        <v>4172.7916401756602</v>
      </c>
      <c r="F39" s="60">
        <f t="shared" si="46"/>
        <v>4044.3600304944657</v>
      </c>
      <c r="G39" s="60">
        <f t="shared" si="46"/>
        <v>3919.8041190557628</v>
      </c>
      <c r="H39" s="60">
        <f t="shared" si="46"/>
        <v>3799.008368227549</v>
      </c>
      <c r="I39" s="60">
        <f t="shared" si="46"/>
        <v>3681.8606580172909</v>
      </c>
      <c r="J39" s="60">
        <f t="shared" si="46"/>
        <v>3568.2521854826127</v>
      </c>
      <c r="K39" s="60">
        <f t="shared" si="46"/>
        <v>3458.0773670929202</v>
      </c>
      <c r="L39" s="60">
        <f t="shared" si="46"/>
        <v>3351.2337439555349</v>
      </c>
      <c r="M39" s="60">
        <f t="shared" si="46"/>
        <v>3247.6218898225079</v>
      </c>
      <c r="N39" s="60">
        <f t="shared" si="46"/>
        <v>3147.1453217966896</v>
      </c>
      <c r="O39" s="60">
        <f t="shared" si="46"/>
        <v>3049.6995461142237</v>
      </c>
      <c r="P39" s="60">
        <f t="shared" si="46"/>
        <v>2955.2051147475495</v>
      </c>
      <c r="Q39" s="60">
        <f t="shared" si="46"/>
        <v>2863.5738447190938</v>
      </c>
      <c r="R39" s="60">
        <f t="shared" si="46"/>
        <v>2774.7201653529328</v>
      </c>
      <c r="S39" s="60">
        <f t="shared" si="46"/>
        <v>2688.5610413153108</v>
      </c>
      <c r="T39" s="60">
        <f t="shared" si="46"/>
        <v>2605.0158979142707</v>
      </c>
      <c r="U39" s="60">
        <f t="shared" si="46"/>
        <v>2524.0065485922337</v>
      </c>
      <c r="V39" s="60">
        <f t="shared" si="46"/>
        <v>2445.4571245473089</v>
      </c>
      <c r="W39" s="60">
        <f t="shared" si="46"/>
        <v>2369.2940064209884</v>
      </c>
      <c r="AB39" s="112">
        <f t="shared" si="3"/>
        <v>780</v>
      </c>
      <c r="AF39" s="114"/>
    </row>
    <row r="40" spans="1:35" s="67" customFormat="1" ht="16.95" customHeight="1" x14ac:dyDescent="0.3">
      <c r="A40" s="159" t="s">
        <v>16</v>
      </c>
      <c r="B40" s="160"/>
      <c r="C40" s="136">
        <f>-C11+M14</f>
        <v>-41700</v>
      </c>
      <c r="D40" s="66">
        <f>D39+C40</f>
        <v>-37394.781992999997</v>
      </c>
      <c r="E40" s="66">
        <f>D40+E39</f>
        <v>-33221.990352824338</v>
      </c>
      <c r="F40" s="66">
        <f t="shared" ref="F40:V40" si="47">E40+F39</f>
        <v>-29177.630322329871</v>
      </c>
      <c r="G40" s="66">
        <f t="shared" si="47"/>
        <v>-25257.826203274108</v>
      </c>
      <c r="H40" s="66">
        <f t="shared" si="47"/>
        <v>-21458.817835046561</v>
      </c>
      <c r="I40" s="66">
        <f t="shared" si="47"/>
        <v>-17776.957177029268</v>
      </c>
      <c r="J40" s="66">
        <f t="shared" si="47"/>
        <v>-14208.704991546656</v>
      </c>
      <c r="K40" s="66">
        <f t="shared" si="47"/>
        <v>-10750.627624453737</v>
      </c>
      <c r="L40" s="66">
        <f t="shared" si="47"/>
        <v>-7399.3938804982017</v>
      </c>
      <c r="M40" s="66">
        <f t="shared" si="47"/>
        <v>-4151.7719906756938</v>
      </c>
      <c r="N40" s="66">
        <f t="shared" si="47"/>
        <v>-1004.6266688790042</v>
      </c>
      <c r="O40" s="66">
        <f t="shared" si="47"/>
        <v>2045.0728772352195</v>
      </c>
      <c r="P40" s="66">
        <f t="shared" si="47"/>
        <v>5000.277991982769</v>
      </c>
      <c r="Q40" s="66">
        <f t="shared" si="47"/>
        <v>7863.8518367018623</v>
      </c>
      <c r="R40" s="66">
        <f t="shared" si="47"/>
        <v>10638.572002054796</v>
      </c>
      <c r="S40" s="66">
        <f t="shared" si="47"/>
        <v>13327.133043370108</v>
      </c>
      <c r="T40" s="66">
        <f t="shared" si="47"/>
        <v>15932.148941284378</v>
      </c>
      <c r="U40" s="66">
        <f t="shared" si="47"/>
        <v>18456.155489876612</v>
      </c>
      <c r="V40" s="66">
        <f t="shared" si="47"/>
        <v>20901.612614423921</v>
      </c>
      <c r="W40" s="66">
        <f>V40+W39</f>
        <v>23270.906620844908</v>
      </c>
      <c r="AA40" s="112"/>
      <c r="AB40" s="112">
        <f t="shared" si="3"/>
        <v>790</v>
      </c>
      <c r="AC40" s="112"/>
      <c r="AD40" s="112"/>
      <c r="AE40" s="112"/>
      <c r="AF40" s="114"/>
      <c r="AG40" s="112"/>
      <c r="AH40" s="112"/>
      <c r="AI40" s="112"/>
    </row>
    <row r="41" spans="1:35" ht="16.95" customHeight="1" x14ac:dyDescent="0.3">
      <c r="AB41" s="112">
        <f>AB40+10</f>
        <v>800</v>
      </c>
    </row>
    <row r="42" spans="1:35" ht="14.4" x14ac:dyDescent="0.3">
      <c r="A42" s="157" t="s">
        <v>33</v>
      </c>
      <c r="B42" s="158"/>
      <c r="C42" s="127"/>
      <c r="D42" s="60">
        <f t="shared" ref="D42:W42" si="48">IF(D20&lt;4,IF(D31&lt;0,0,$I$11*D31),$I$12*D31)</f>
        <v>1363.5517800000002</v>
      </c>
      <c r="E42" s="60">
        <f t="shared" si="48"/>
        <v>1359.1037104342158</v>
      </c>
      <c r="F42" s="60">
        <f t="shared" si="48"/>
        <v>1354.6119037673247</v>
      </c>
      <c r="G42" s="60">
        <f t="shared" si="48"/>
        <v>1350.0759225334918</v>
      </c>
      <c r="H42" s="60">
        <f t="shared" si="48"/>
        <v>1345.4953248915374</v>
      </c>
      <c r="I42" s="60">
        <f t="shared" si="48"/>
        <v>1340.8696645811858</v>
      </c>
      <c r="J42" s="60">
        <f t="shared" si="48"/>
        <v>1336.1984908788552</v>
      </c>
      <c r="K42" s="60">
        <f t="shared" si="48"/>
        <v>1331.4813485530308</v>
      </c>
      <c r="L42" s="60">
        <f t="shared" si="48"/>
        <v>1326.7177778191724</v>
      </c>
      <c r="M42" s="60">
        <f t="shared" si="48"/>
        <v>1321.9073142941791</v>
      </c>
      <c r="N42" s="60">
        <f t="shared" si="48"/>
        <v>1317.0494889503968</v>
      </c>
      <c r="O42" s="60">
        <f t="shared" si="48"/>
        <v>1312.1345892410777</v>
      </c>
      <c r="P42" s="60">
        <f t="shared" si="48"/>
        <v>1307.171292388279</v>
      </c>
      <c r="Q42" s="60">
        <f t="shared" si="48"/>
        <v>1302.1591144017721</v>
      </c>
      <c r="R42" s="60">
        <f t="shared" si="48"/>
        <v>1297.0975664514224</v>
      </c>
      <c r="S42" s="60">
        <f t="shared" si="48"/>
        <v>1291.9861548187971</v>
      </c>
      <c r="T42" s="60">
        <f t="shared" si="48"/>
        <v>1286.8243808482775</v>
      </c>
      <c r="U42" s="60">
        <f t="shared" si="48"/>
        <v>1281.6117408976911</v>
      </c>
      <c r="V42" s="60">
        <f t="shared" si="48"/>
        <v>1276.3477262884419</v>
      </c>
      <c r="W42" s="60">
        <f t="shared" si="48"/>
        <v>1271.0318232551517</v>
      </c>
      <c r="AB42" s="112">
        <f>AB41+8</f>
        <v>808</v>
      </c>
      <c r="AF42" s="114"/>
    </row>
    <row r="43" spans="1:35" ht="14.4" x14ac:dyDescent="0.3">
      <c r="A43" s="157" t="s">
        <v>48</v>
      </c>
      <c r="B43" s="158"/>
      <c r="C43" s="127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848.19987306995472</v>
      </c>
      <c r="H43" s="60">
        <f t="shared" si="49"/>
        <v>845.32206281229242</v>
      </c>
      <c r="I43" s="60">
        <f t="shared" si="49"/>
        <v>842.41594144339729</v>
      </c>
      <c r="J43" s="60">
        <f t="shared" si="49"/>
        <v>839.48122579128108</v>
      </c>
      <c r="K43" s="60">
        <f t="shared" si="49"/>
        <v>836.51762985179539</v>
      </c>
      <c r="L43" s="60">
        <f t="shared" si="49"/>
        <v>833.5248647603064</v>
      </c>
      <c r="M43" s="60">
        <f t="shared" si="49"/>
        <v>830.50263876308213</v>
      </c>
      <c r="N43" s="60">
        <f t="shared" si="49"/>
        <v>827.45065718840146</v>
      </c>
      <c r="O43" s="60">
        <f t="shared" si="49"/>
        <v>824.362818023199</v>
      </c>
      <c r="P43" s="60">
        <f t="shared" si="49"/>
        <v>821.24457282654953</v>
      </c>
      <c r="Q43" s="60">
        <f t="shared" si="49"/>
        <v>818.0956175263309</v>
      </c>
      <c r="R43" s="60">
        <f t="shared" si="49"/>
        <v>814.91564500969821</v>
      </c>
      <c r="S43" s="60">
        <f t="shared" si="49"/>
        <v>811.7043450926792</v>
      </c>
      <c r="T43" s="60">
        <f t="shared" si="49"/>
        <v>808.46140448946153</v>
      </c>
      <c r="U43" s="60">
        <f t="shared" si="49"/>
        <v>805.18650678137556</v>
      </c>
      <c r="V43" s="60">
        <f t="shared" si="49"/>
        <v>801.87933238556457</v>
      </c>
      <c r="W43" s="60">
        <f t="shared" si="49"/>
        <v>798.53955852334548</v>
      </c>
      <c r="AB43" s="112">
        <f t="shared" si="3"/>
        <v>818</v>
      </c>
      <c r="AF43" s="114"/>
    </row>
    <row r="44" spans="1:35" ht="14.4" x14ac:dyDescent="0.3">
      <c r="A44" s="157" t="s">
        <v>49</v>
      </c>
      <c r="B44" s="158"/>
      <c r="C44" s="127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702.30949490192256</v>
      </c>
      <c r="H44" s="60">
        <f t="shared" si="50"/>
        <v>699.92666800857819</v>
      </c>
      <c r="I44" s="60">
        <f t="shared" si="50"/>
        <v>697.52039951513302</v>
      </c>
      <c r="J44" s="60">
        <f t="shared" si="50"/>
        <v>695.0904549551808</v>
      </c>
      <c r="K44" s="60">
        <f t="shared" si="50"/>
        <v>692.63659751728665</v>
      </c>
      <c r="L44" s="60">
        <f t="shared" si="50"/>
        <v>690.15858802153377</v>
      </c>
      <c r="M44" s="60">
        <f t="shared" si="50"/>
        <v>687.6561848958321</v>
      </c>
      <c r="N44" s="60">
        <f t="shared" si="50"/>
        <v>685.12914415199646</v>
      </c>
      <c r="O44" s="60">
        <f t="shared" si="50"/>
        <v>682.57241332320882</v>
      </c>
      <c r="P44" s="60">
        <f t="shared" si="50"/>
        <v>679.99050630038312</v>
      </c>
      <c r="Q44" s="60">
        <f t="shared" si="50"/>
        <v>677.38317131180202</v>
      </c>
      <c r="R44" s="60">
        <f t="shared" si="50"/>
        <v>674.75015406803016</v>
      </c>
      <c r="S44" s="60">
        <f t="shared" si="50"/>
        <v>672.09119773673842</v>
      </c>
      <c r="T44" s="60">
        <f t="shared" si="50"/>
        <v>669.40604291727425</v>
      </c>
      <c r="U44" s="60">
        <f t="shared" si="50"/>
        <v>666.69442761497896</v>
      </c>
      <c r="V44" s="60">
        <f t="shared" si="50"/>
        <v>663.95608721524752</v>
      </c>
      <c r="W44" s="60">
        <f t="shared" si="50"/>
        <v>661.19075445733006</v>
      </c>
      <c r="AB44" s="112">
        <f t="shared" si="3"/>
        <v>828</v>
      </c>
      <c r="AF44" s="114"/>
    </row>
    <row r="45" spans="1:35" s="67" customFormat="1" ht="16.95" customHeight="1" x14ac:dyDescent="0.3">
      <c r="A45" s="159" t="s">
        <v>22</v>
      </c>
      <c r="B45" s="160"/>
      <c r="C45" s="129"/>
      <c r="D45" s="155">
        <f>(D44/$M$9)/$M$10</f>
        <v>0</v>
      </c>
      <c r="E45" s="155">
        <f t="shared" ref="E45:W45" si="51">(E44/$M$9)/$M$10</f>
        <v>0</v>
      </c>
      <c r="F45" s="155">
        <f t="shared" si="51"/>
        <v>0</v>
      </c>
      <c r="G45" s="155">
        <f t="shared" si="51"/>
        <v>1.6681935745888898E-2</v>
      </c>
      <c r="H45" s="155">
        <f t="shared" si="51"/>
        <v>1.6625336532270264E-2</v>
      </c>
      <c r="I45" s="155">
        <f t="shared" si="51"/>
        <v>1.6568180511048289E-2</v>
      </c>
      <c r="J45" s="155">
        <f t="shared" si="51"/>
        <v>1.6510462112949664E-2</v>
      </c>
      <c r="K45" s="155">
        <f t="shared" si="51"/>
        <v>1.6452175712999683E-2</v>
      </c>
      <c r="L45" s="155">
        <f t="shared" si="51"/>
        <v>1.6393315629965172E-2</v>
      </c>
      <c r="M45" s="155">
        <f t="shared" si="51"/>
        <v>1.6333876125791735E-2</v>
      </c>
      <c r="N45" s="155">
        <f t="shared" si="51"/>
        <v>1.6273851405035546E-2</v>
      </c>
      <c r="O45" s="155">
        <f t="shared" si="51"/>
        <v>1.6213121456608286E-2</v>
      </c>
      <c r="P45" s="155">
        <f t="shared" si="51"/>
        <v>1.6151793498821451E-2</v>
      </c>
      <c r="Q45" s="155">
        <f t="shared" si="51"/>
        <v>1.6089861551349217E-2</v>
      </c>
      <c r="R45" s="155">
        <f t="shared" si="51"/>
        <v>1.6027319574062473E-2</v>
      </c>
      <c r="S45" s="155">
        <f t="shared" si="51"/>
        <v>1.5964161466430843E-2</v>
      </c>
      <c r="T45" s="155">
        <f t="shared" si="51"/>
        <v>1.5900381066918629E-2</v>
      </c>
      <c r="U45" s="155">
        <f t="shared" si="51"/>
        <v>1.5835972152374797E-2</v>
      </c>
      <c r="V45" s="155">
        <f t="shared" si="51"/>
        <v>1.5770928437416808E-2</v>
      </c>
      <c r="W45" s="155">
        <f t="shared" si="51"/>
        <v>1.5705243573808314E-2</v>
      </c>
      <c r="AA45" s="112"/>
      <c r="AB45" s="112">
        <f t="shared" si="3"/>
        <v>838</v>
      </c>
      <c r="AC45" s="112"/>
      <c r="AD45" s="112"/>
      <c r="AE45" s="112"/>
      <c r="AF45" s="114"/>
      <c r="AG45" s="112"/>
      <c r="AH45" s="112"/>
      <c r="AI45" s="112"/>
    </row>
    <row r="46" spans="1:35" ht="16.95" customHeight="1" x14ac:dyDescent="0.3">
      <c r="AB46" s="112">
        <v>842</v>
      </c>
    </row>
    <row r="47" spans="1:35" ht="16.95" customHeight="1" x14ac:dyDescent="0.3">
      <c r="A47" s="168" t="s">
        <v>35</v>
      </c>
      <c r="B47" s="169"/>
      <c r="C47" s="130"/>
      <c r="D47" s="71">
        <f t="shared" ref="D47:W47" si="52">IF(D20&lt;=$M$13,D25/-PMT($M$12,$M$13,$M$11),"")</f>
        <v>2496.2725323514146</v>
      </c>
      <c r="E47" s="71">
        <f t="shared" si="52"/>
        <v>2491.9312188023082</v>
      </c>
      <c r="F47" s="71">
        <f t="shared" si="52"/>
        <v>2487.5472247186826</v>
      </c>
      <c r="G47" s="71">
        <f t="shared" si="52"/>
        <v>2483.1201232768781</v>
      </c>
      <c r="H47" s="71">
        <f t="shared" si="52"/>
        <v>2478.6494833849961</v>
      </c>
      <c r="I47" s="71">
        <f t="shared" si="52"/>
        <v>2474.1348696402256</v>
      </c>
      <c r="J47" s="71">
        <f t="shared" si="52"/>
        <v>2469.5758422857202</v>
      </c>
      <c r="K47" s="71">
        <f t="shared" si="52"/>
        <v>2464.9719571670717</v>
      </c>
      <c r="L47" s="71">
        <f t="shared" si="52"/>
        <v>2460.3227656883255</v>
      </c>
      <c r="M47" s="71">
        <f t="shared" si="52"/>
        <v>2455.627814767568</v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2">
        <f t="shared" si="3"/>
        <v>852</v>
      </c>
    </row>
    <row r="48" spans="1:35" ht="16.95" customHeight="1" x14ac:dyDescent="0.3">
      <c r="AB48" s="112">
        <f t="shared" ref="AB48:AB60" si="53">AB47+10</f>
        <v>862</v>
      </c>
    </row>
    <row r="49" spans="1:35" ht="16.95" customHeight="1" x14ac:dyDescent="0.3">
      <c r="A49" s="166" t="s">
        <v>17</v>
      </c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AB49" s="112">
        <f t="shared" si="53"/>
        <v>872</v>
      </c>
    </row>
    <row r="50" spans="1:35" ht="16.95" customHeight="1" x14ac:dyDescent="0.3">
      <c r="AB50" s="112">
        <f t="shared" si="53"/>
        <v>882</v>
      </c>
    </row>
    <row r="51" spans="1:35" ht="16.95" customHeight="1" x14ac:dyDescent="0.3">
      <c r="A51" s="167" t="s">
        <v>18</v>
      </c>
      <c r="B51" s="167"/>
      <c r="C51" s="60">
        <f>W40</f>
        <v>23270.906620844908</v>
      </c>
      <c r="D51" s="88" t="str">
        <f>IF(C51&gt;0,"OK","PB")</f>
        <v>OK</v>
      </c>
      <c r="F51" s="73"/>
      <c r="AB51" s="112">
        <f t="shared" si="53"/>
        <v>892</v>
      </c>
    </row>
    <row r="52" spans="1:35" ht="16.95" customHeight="1" x14ac:dyDescent="0.3">
      <c r="A52" s="167" t="s">
        <v>40</v>
      </c>
      <c r="B52" s="167"/>
      <c r="C52" s="60">
        <f>SUM(D42:W42)</f>
        <v>26373.4271152943</v>
      </c>
      <c r="AB52" s="112">
        <f t="shared" si="53"/>
        <v>902</v>
      </c>
    </row>
    <row r="53" spans="1:35" ht="14.4" x14ac:dyDescent="0.3">
      <c r="A53" s="167" t="s">
        <v>19</v>
      </c>
      <c r="B53" s="167"/>
      <c r="C53" s="74">
        <f>IRR(C37:W37)</f>
        <v>8.013983109552103E-2</v>
      </c>
      <c r="D53" s="134" t="str">
        <f>IF(C53&gt;M12,"OK","PB")</f>
        <v>OK</v>
      </c>
      <c r="AB53" s="112">
        <f t="shared" si="53"/>
        <v>912</v>
      </c>
    </row>
    <row r="54" spans="1:35" ht="29.4" customHeight="1" x14ac:dyDescent="0.3">
      <c r="A54" s="167" t="s">
        <v>20</v>
      </c>
      <c r="B54" s="167"/>
      <c r="C54" s="75">
        <f>AVERAGE(D34:W34)/M8</f>
        <v>5.1000973121334899E-2</v>
      </c>
      <c r="AB54" s="112">
        <f t="shared" si="53"/>
        <v>922</v>
      </c>
    </row>
    <row r="55" spans="1:35" ht="26.4" customHeight="1" x14ac:dyDescent="0.3">
      <c r="A55" s="167" t="s">
        <v>41</v>
      </c>
      <c r="B55" s="167"/>
      <c r="C55" s="75">
        <f>AVERAGE(D45:W45)</f>
        <v>1.3774895827687003E-2</v>
      </c>
      <c r="AB55" s="112">
        <f t="shared" si="53"/>
        <v>932</v>
      </c>
    </row>
    <row r="56" spans="1:35" ht="16.95" customHeight="1" x14ac:dyDescent="0.3">
      <c r="AB56" s="112">
        <f t="shared" si="53"/>
        <v>942</v>
      </c>
    </row>
    <row r="57" spans="1:35" ht="16.95" customHeight="1" x14ac:dyDescent="0.3">
      <c r="A57" s="76" t="s">
        <v>104</v>
      </c>
      <c r="B57" s="89">
        <f>C11/(C9*1000)</f>
        <v>1.1583333333333334</v>
      </c>
      <c r="AB57" s="112">
        <f t="shared" si="53"/>
        <v>952</v>
      </c>
    </row>
    <row r="58" spans="1:35" ht="16.95" customHeight="1" x14ac:dyDescent="0.3">
      <c r="D58" s="77"/>
      <c r="AB58" s="112">
        <f t="shared" si="53"/>
        <v>962</v>
      </c>
    </row>
    <row r="59" spans="1:35" s="78" customFormat="1" ht="16.95" customHeight="1" x14ac:dyDescent="0.3">
      <c r="AA59" s="119"/>
      <c r="AB59" s="112">
        <f t="shared" si="53"/>
        <v>972</v>
      </c>
      <c r="AC59" s="119"/>
      <c r="AD59" s="119"/>
      <c r="AE59" s="119"/>
      <c r="AF59" s="119"/>
      <c r="AG59" s="119"/>
      <c r="AH59" s="119"/>
      <c r="AI59" s="119"/>
    </row>
    <row r="60" spans="1:35" ht="16.95" customHeight="1" x14ac:dyDescent="0.3">
      <c r="AB60" s="112">
        <f t="shared" si="53"/>
        <v>982</v>
      </c>
    </row>
    <row r="61" spans="1:35" ht="16.95" customHeight="1" x14ac:dyDescent="0.3">
      <c r="AB61" s="112">
        <v>2440</v>
      </c>
    </row>
    <row r="62" spans="1:35" ht="16.95" customHeight="1" x14ac:dyDescent="0.3">
      <c r="AB62" s="41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N49:O49"/>
    <mergeCell ref="P49:Q49"/>
    <mergeCell ref="R49:S49"/>
    <mergeCell ref="T49:U49"/>
    <mergeCell ref="V49:W49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78" t="s">
        <v>66</v>
      </c>
      <c r="B1" s="179"/>
      <c r="C1" s="179"/>
      <c r="D1" s="179"/>
      <c r="E1" s="179"/>
      <c r="F1" s="179"/>
      <c r="G1" s="179"/>
      <c r="H1" s="179"/>
      <c r="I1" s="102"/>
    </row>
    <row r="2" spans="1:27" x14ac:dyDescent="0.3">
      <c r="A2" s="121" t="s">
        <v>169</v>
      </c>
    </row>
    <row r="3" spans="1:27" s="100" customFormat="1" ht="33" x14ac:dyDescent="0.3">
      <c r="A3" s="120"/>
      <c r="B3" s="99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5" t="s">
        <v>150</v>
      </c>
      <c r="K3" s="104"/>
      <c r="L3" s="101"/>
      <c r="M3" s="12" t="s">
        <v>165</v>
      </c>
      <c r="N3" s="152" t="s">
        <v>185</v>
      </c>
    </row>
    <row r="4" spans="1:27" ht="15.6" x14ac:dyDescent="0.3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11.74</v>
      </c>
      <c r="H4" s="27">
        <f>G4*E4/100</f>
        <v>5271.26</v>
      </c>
      <c r="J4" s="107" t="s">
        <v>154</v>
      </c>
      <c r="K4" s="122"/>
      <c r="M4" s="12" t="s">
        <v>164</v>
      </c>
      <c r="N4" s="151">
        <f t="shared" ref="N4:N38" si="0">IF(A4="oui",1,0)</f>
        <v>1</v>
      </c>
    </row>
    <row r="5" spans="1:27" ht="15.6" x14ac:dyDescent="0.3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6"/>
      <c r="K5" s="11"/>
      <c r="N5" s="151">
        <f t="shared" si="0"/>
        <v>1</v>
      </c>
    </row>
    <row r="6" spans="1:27" ht="15.6" x14ac:dyDescent="0.3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80" t="s">
        <v>166</v>
      </c>
      <c r="K6" s="123"/>
      <c r="N6" s="151">
        <f t="shared" si="0"/>
        <v>1</v>
      </c>
    </row>
    <row r="7" spans="1:27" ht="15.6" x14ac:dyDescent="0.3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80"/>
      <c r="K7" s="123"/>
      <c r="N7" s="151">
        <f t="shared" si="0"/>
        <v>1</v>
      </c>
    </row>
    <row r="8" spans="1:27" ht="15.6" x14ac:dyDescent="0.3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7" t="s">
        <v>172</v>
      </c>
      <c r="K8" s="122"/>
      <c r="N8" s="151">
        <f t="shared" si="0"/>
        <v>1</v>
      </c>
    </row>
    <row r="9" spans="1:27" ht="15.6" x14ac:dyDescent="0.3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7" t="s">
        <v>153</v>
      </c>
      <c r="K9" s="11"/>
      <c r="N9" s="151">
        <f t="shared" si="0"/>
        <v>1</v>
      </c>
    </row>
    <row r="10" spans="1:27" ht="15.6" x14ac:dyDescent="0.3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1" t="s">
        <v>152</v>
      </c>
      <c r="K10" s="124"/>
      <c r="N10" s="151">
        <f t="shared" si="0"/>
        <v>1</v>
      </c>
    </row>
    <row r="11" spans="1:27" ht="15.6" x14ac:dyDescent="0.3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2"/>
      <c r="K11" s="124"/>
      <c r="N11" s="151">
        <f t="shared" si="0"/>
        <v>1</v>
      </c>
    </row>
    <row r="12" spans="1:27" ht="15.6" x14ac:dyDescent="0.3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2"/>
      <c r="N12" s="151">
        <f t="shared" si="0"/>
        <v>1</v>
      </c>
    </row>
    <row r="13" spans="1:27" ht="15.6" x14ac:dyDescent="0.3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5"/>
      <c r="N13" s="151">
        <f t="shared" si="0"/>
        <v>1</v>
      </c>
    </row>
    <row r="14" spans="1:27" ht="15.6" x14ac:dyDescent="0.3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5"/>
      <c r="N14" s="151">
        <f t="shared" si="0"/>
        <v>1</v>
      </c>
    </row>
    <row r="15" spans="1:27" ht="15.6" x14ac:dyDescent="0.3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1">
        <f t="shared" si="0"/>
        <v>1</v>
      </c>
    </row>
    <row r="16" spans="1:27" ht="15.6" x14ac:dyDescent="0.3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1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1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1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1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1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1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1">
        <f t="shared" si="0"/>
        <v>1</v>
      </c>
    </row>
    <row r="23" spans="1:27" ht="15.6" x14ac:dyDescent="0.3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1">
        <f t="shared" si="0"/>
        <v>1</v>
      </c>
    </row>
    <row r="24" spans="1:27" ht="15.6" x14ac:dyDescent="0.3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1">
        <f t="shared" si="0"/>
        <v>1</v>
      </c>
    </row>
    <row r="25" spans="1:27" ht="15.6" x14ac:dyDescent="0.3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1">
        <f t="shared" si="0"/>
        <v>1</v>
      </c>
    </row>
    <row r="26" spans="1:27" ht="15.6" x14ac:dyDescent="0.3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1">
        <f t="shared" si="0"/>
        <v>1</v>
      </c>
    </row>
    <row r="27" spans="1:27" ht="15.6" x14ac:dyDescent="0.3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1">
        <f t="shared" si="0"/>
        <v>1</v>
      </c>
    </row>
    <row r="28" spans="1:27" ht="15.6" x14ac:dyDescent="0.3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1">
        <f t="shared" si="0"/>
        <v>1</v>
      </c>
    </row>
    <row r="29" spans="1:27" ht="15.6" x14ac:dyDescent="0.3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1">
        <f t="shared" si="0"/>
        <v>1</v>
      </c>
    </row>
    <row r="30" spans="1:27" ht="15.6" x14ac:dyDescent="0.3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1">
        <f t="shared" si="0"/>
        <v>1</v>
      </c>
    </row>
    <row r="31" spans="1:27" ht="15.6" x14ac:dyDescent="0.3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1">
        <f t="shared" si="0"/>
        <v>1</v>
      </c>
    </row>
    <row r="32" spans="1:27" ht="15.6" x14ac:dyDescent="0.3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1">
        <f t="shared" si="0"/>
        <v>1</v>
      </c>
    </row>
    <row r="33" spans="1:14" ht="15.6" x14ac:dyDescent="0.3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1">
        <f t="shared" si="0"/>
        <v>1</v>
      </c>
    </row>
    <row r="34" spans="1:14" ht="15.6" x14ac:dyDescent="0.3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1">
        <f t="shared" si="0"/>
        <v>1</v>
      </c>
    </row>
    <row r="35" spans="1:14" ht="15.6" x14ac:dyDescent="0.3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1">
        <f t="shared" si="0"/>
        <v>1</v>
      </c>
    </row>
    <row r="36" spans="1:14" ht="15.6" x14ac:dyDescent="0.3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1">
        <f t="shared" si="0"/>
        <v>1</v>
      </c>
    </row>
    <row r="37" spans="1:14" ht="15.6" x14ac:dyDescent="0.3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1">
        <f t="shared" si="0"/>
        <v>1</v>
      </c>
    </row>
    <row r="38" spans="1:14" ht="15.6" x14ac:dyDescent="0.3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1">
        <f t="shared" si="0"/>
        <v>1</v>
      </c>
    </row>
    <row r="39" spans="1:14" ht="18" x14ac:dyDescent="0.35">
      <c r="A39" s="139"/>
      <c r="B39" s="140"/>
      <c r="C39" s="137">
        <f>SUMPRODUCT(C4:C38,$N$4:$N$38)</f>
        <v>200</v>
      </c>
      <c r="D39" s="137">
        <f t="shared" ref="D39:E39" si="8">SUMPRODUCT(D4:D38,$N$4:$N$38)</f>
        <v>36</v>
      </c>
      <c r="E39" s="137">
        <f t="shared" si="8"/>
        <v>44900</v>
      </c>
      <c r="G39" s="138"/>
      <c r="H39" s="137">
        <f>SUMPRODUCT(H4:H38,$N$4:$N$38)</f>
        <v>5271.26</v>
      </c>
      <c r="N39" s="100"/>
    </row>
    <row r="40" spans="1:14" customFormat="1" ht="6.75" customHeight="1" x14ac:dyDescent="0.3">
      <c r="F40" s="10"/>
      <c r="K40" s="12"/>
    </row>
    <row r="41" spans="1:14" x14ac:dyDescent="0.3">
      <c r="B41"/>
      <c r="N41" s="100"/>
    </row>
    <row r="42" spans="1:14" x14ac:dyDescent="0.3">
      <c r="B42"/>
      <c r="C42" s="2"/>
      <c r="D42" s="12"/>
      <c r="E42" s="12"/>
      <c r="F42" s="12"/>
      <c r="G42" s="12"/>
      <c r="H42" s="12"/>
      <c r="N42" s="100"/>
    </row>
    <row r="43" spans="1:14" x14ac:dyDescent="0.3">
      <c r="B43"/>
      <c r="D43" s="12"/>
      <c r="E43" s="12"/>
      <c r="F43" s="12"/>
      <c r="G43" s="12"/>
      <c r="H43" s="12"/>
      <c r="N43" s="100"/>
    </row>
    <row r="44" spans="1:14" x14ac:dyDescent="0.3">
      <c r="N44" s="100"/>
    </row>
    <row r="45" spans="1:14" x14ac:dyDescent="0.3">
      <c r="N45" s="100"/>
    </row>
    <row r="50" spans="1:11" x14ac:dyDescent="0.3">
      <c r="E50" s="12"/>
      <c r="F50" s="12"/>
    </row>
    <row r="52" spans="1:11" x14ac:dyDescent="0.3">
      <c r="A52" s="20"/>
      <c r="B52" s="21"/>
    </row>
    <row r="53" spans="1:11" s="22" customFormat="1" x14ac:dyDescent="0.3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19" zoomScale="70" zoomScaleNormal="70" workbookViewId="0">
      <selection activeCell="D46" sqref="D46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183" t="s">
        <v>102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P1" s="108"/>
    </row>
    <row r="3" spans="1:29" s="18" customFormat="1" ht="32.25" customHeight="1" x14ac:dyDescent="0.3">
      <c r="A3" s="12"/>
      <c r="C3" s="141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2" t="s">
        <v>176</v>
      </c>
      <c r="P3" s="146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6">
        <v>36000</v>
      </c>
      <c r="D4" s="37">
        <v>1700</v>
      </c>
      <c r="E4" s="34"/>
      <c r="F4" s="34"/>
      <c r="G4" s="34"/>
      <c r="H4" s="34"/>
      <c r="I4" s="34"/>
      <c r="J4" s="34"/>
      <c r="K4" s="34">
        <v>2000</v>
      </c>
      <c r="L4" s="34">
        <v>2000</v>
      </c>
      <c r="M4" s="28">
        <f>SUM(C4:L4)</f>
        <v>41700</v>
      </c>
      <c r="N4" s="26"/>
      <c r="O4" s="93" t="s">
        <v>101</v>
      </c>
      <c r="P4" s="90" t="s">
        <v>177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4"/>
      <c r="P5" s="91" t="s">
        <v>179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3" t="s">
        <v>53</v>
      </c>
      <c r="P6" s="90" t="s">
        <v>178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4"/>
      <c r="P7" s="91" t="s">
        <v>107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3" t="s">
        <v>54</v>
      </c>
      <c r="P8" s="90" t="s">
        <v>108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4"/>
      <c r="P9" s="91" t="s">
        <v>109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3" t="s">
        <v>55</v>
      </c>
      <c r="P10" s="90" t="s">
        <v>180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4"/>
      <c r="P11" s="91" t="s">
        <v>110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3" t="s">
        <v>56</v>
      </c>
      <c r="P12" s="90" t="s">
        <v>111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4"/>
      <c r="P13" s="91" t="s">
        <v>112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3" t="s">
        <v>57</v>
      </c>
      <c r="P14" s="90" t="s">
        <v>113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4"/>
      <c r="P15" s="91" t="s">
        <v>159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3" t="s">
        <v>67</v>
      </c>
      <c r="P16" s="90" t="s">
        <v>181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6"/>
      <c r="P17" s="92"/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3" t="s">
        <v>115</v>
      </c>
      <c r="P18" s="90" t="s">
        <v>116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5"/>
      <c r="P19" s="91" t="s">
        <v>114</v>
      </c>
    </row>
    <row r="20" spans="1:18" x14ac:dyDescent="0.3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" customHeight="1" x14ac:dyDescent="0.3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3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3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3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3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3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3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3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3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3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3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3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3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3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3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" thickBot="1" x14ac:dyDescent="0.35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4">
        <f t="shared" si="0"/>
        <v>0</v>
      </c>
      <c r="N38" s="26"/>
    </row>
    <row r="39" spans="1:22" ht="18.600000000000001" thickBot="1" x14ac:dyDescent="0.4">
      <c r="A39" s="184" t="s">
        <v>167</v>
      </c>
      <c r="B39" s="185"/>
      <c r="C39" s="143">
        <f>SUMPRODUCT(C4:C38,ENCAISSEMENTS!$N$4:$N$38)</f>
        <v>36000</v>
      </c>
      <c r="D39" s="143">
        <f>SUMPRODUCT(D4:D38,ENCAISSEMENTS!$N$4:$N$38)</f>
        <v>1700</v>
      </c>
      <c r="E39" s="143">
        <f>SUMPRODUCT(E4:E38,ENCAISSEMENTS!$N$4:$N$38)</f>
        <v>0</v>
      </c>
      <c r="F39" s="143">
        <f>SUMPRODUCT(F4:F38,ENCAISSEMENTS!$N$4:$N$38)</f>
        <v>0</v>
      </c>
      <c r="G39" s="143">
        <f>SUMPRODUCT(G4:G38,ENCAISSEMENTS!$N$4:$N$38)</f>
        <v>0</v>
      </c>
      <c r="H39" s="143">
        <f>SUMPRODUCT(H4:H38,ENCAISSEMENTS!$N$4:$N$38)</f>
        <v>0</v>
      </c>
      <c r="I39" s="143">
        <f>SUMPRODUCT(I4:I38,ENCAISSEMENTS!$N$4:$N$38)</f>
        <v>0</v>
      </c>
      <c r="J39" s="143">
        <f>SUMPRODUCT(J4:J38,ENCAISSEMENTS!$N$4:$N$38)</f>
        <v>0</v>
      </c>
      <c r="K39" s="143">
        <f>SUMPRODUCT(K4:K38,ENCAISSEMENTS!$N$4:$N$38)</f>
        <v>2000</v>
      </c>
      <c r="L39" s="143">
        <f>SUMPRODUCT(L4:L38,ENCAISSEMENTS!$N$4:$N$38)</f>
        <v>2000</v>
      </c>
      <c r="M39" s="145">
        <f>SUM(C39:L39)</f>
        <v>41700</v>
      </c>
    </row>
    <row r="42" spans="1:22" ht="25.8" x14ac:dyDescent="0.5">
      <c r="B42" s="183" t="s">
        <v>103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O42" s="142" t="s">
        <v>106</v>
      </c>
      <c r="P42" s="109"/>
    </row>
    <row r="44" spans="1:22" s="13" customFormat="1" ht="31.2" x14ac:dyDescent="0.3">
      <c r="A44" s="12"/>
      <c r="C44" s="17" t="s">
        <v>58</v>
      </c>
      <c r="D44" s="17" t="s">
        <v>59</v>
      </c>
      <c r="E44" s="17" t="s">
        <v>60</v>
      </c>
      <c r="F44" s="103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3" t="s">
        <v>117</v>
      </c>
      <c r="P44" s="90" t="s">
        <v>122</v>
      </c>
      <c r="Q44" s="12"/>
      <c r="R44" s="12"/>
      <c r="S44" s="12"/>
      <c r="T44" s="12"/>
      <c r="U44" s="12"/>
      <c r="V44" s="12"/>
    </row>
    <row r="45" spans="1:22" ht="15.6" x14ac:dyDescent="0.3">
      <c r="A45" s="12" t="str">
        <f>ENCAISSEMENTS!A4</f>
        <v>oui</v>
      </c>
      <c r="B45" s="1" t="str">
        <f>ENCAISSEMENTS!B4</f>
        <v>INSTALL 1</v>
      </c>
      <c r="C45" s="16">
        <v>200</v>
      </c>
      <c r="D45" s="34">
        <v>300</v>
      </c>
      <c r="E45" s="34">
        <v>220</v>
      </c>
      <c r="F45" s="34">
        <v>200</v>
      </c>
      <c r="G45" s="39">
        <v>42</v>
      </c>
      <c r="H45" s="39"/>
      <c r="I45" s="39"/>
      <c r="J45" s="39"/>
      <c r="K45" s="110">
        <f>SUM(D45:J45)</f>
        <v>762</v>
      </c>
      <c r="O45" s="96"/>
      <c r="P45" s="92" t="s">
        <v>123</v>
      </c>
      <c r="R45" s="12"/>
    </row>
    <row r="46" spans="1:22" ht="15.6" x14ac:dyDescent="0.3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0">
        <f t="shared" ref="K46:K79" si="1">SUM(D46:J46)</f>
        <v>0</v>
      </c>
      <c r="O46" s="93" t="s">
        <v>118</v>
      </c>
      <c r="P46" s="90" t="s">
        <v>183</v>
      </c>
      <c r="R46" s="12"/>
    </row>
    <row r="47" spans="1:22" ht="15.6" x14ac:dyDescent="0.3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0">
        <f t="shared" si="1"/>
        <v>0</v>
      </c>
      <c r="O47" s="96"/>
      <c r="P47" s="92" t="s">
        <v>195</v>
      </c>
      <c r="R47" s="12"/>
    </row>
    <row r="48" spans="1:22" ht="15.6" x14ac:dyDescent="0.3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0">
        <f t="shared" si="1"/>
        <v>0</v>
      </c>
      <c r="O48" s="97"/>
      <c r="P48" s="92" t="s">
        <v>196</v>
      </c>
      <c r="R48" s="12"/>
    </row>
    <row r="49" spans="1:28" ht="15.6" x14ac:dyDescent="0.3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0">
        <f t="shared" si="1"/>
        <v>0</v>
      </c>
      <c r="O49" s="97"/>
      <c r="P49" s="92" t="s">
        <v>197</v>
      </c>
      <c r="R49" s="12"/>
    </row>
    <row r="50" spans="1:28" ht="15.6" x14ac:dyDescent="0.3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0">
        <f t="shared" si="1"/>
        <v>0</v>
      </c>
      <c r="O50" s="97"/>
      <c r="P50" s="92" t="s">
        <v>198</v>
      </c>
      <c r="R50" s="12"/>
    </row>
    <row r="51" spans="1:28" ht="15.6" x14ac:dyDescent="0.3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0">
        <f t="shared" si="1"/>
        <v>0</v>
      </c>
      <c r="O51" s="97"/>
      <c r="P51" s="92" t="s">
        <v>199</v>
      </c>
      <c r="S51"/>
      <c r="T51"/>
      <c r="U51"/>
      <c r="V51"/>
      <c r="W51"/>
      <c r="X51"/>
      <c r="Y51"/>
      <c r="Z51"/>
      <c r="AA51"/>
      <c r="AB51"/>
    </row>
    <row r="52" spans="1:28" ht="15.6" x14ac:dyDescent="0.3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0">
        <f t="shared" si="1"/>
        <v>0</v>
      </c>
      <c r="O52" s="147"/>
      <c r="P52" s="92" t="s">
        <v>200</v>
      </c>
      <c r="S52"/>
      <c r="T52"/>
      <c r="U52"/>
      <c r="V52"/>
      <c r="W52"/>
      <c r="X52"/>
      <c r="Y52"/>
      <c r="Z52"/>
      <c r="AA52"/>
      <c r="AB52"/>
    </row>
    <row r="53" spans="1:28" ht="15.6" x14ac:dyDescent="0.3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0">
        <f t="shared" si="1"/>
        <v>0</v>
      </c>
      <c r="O53" s="147"/>
      <c r="P53" s="92" t="s">
        <v>201</v>
      </c>
      <c r="S53"/>
      <c r="T53"/>
      <c r="U53"/>
      <c r="V53"/>
      <c r="W53"/>
      <c r="X53"/>
      <c r="Y53"/>
      <c r="Z53"/>
      <c r="AA53"/>
      <c r="AB53"/>
    </row>
    <row r="54" spans="1:28" ht="15.6" x14ac:dyDescent="0.3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0">
        <f t="shared" si="1"/>
        <v>0</v>
      </c>
      <c r="O54" s="147"/>
      <c r="P54" s="92" t="s">
        <v>202</v>
      </c>
      <c r="S54"/>
      <c r="T54"/>
      <c r="U54"/>
      <c r="V54"/>
      <c r="W54"/>
      <c r="X54"/>
      <c r="Y54"/>
      <c r="Z54"/>
      <c r="AA54"/>
      <c r="AB54"/>
    </row>
    <row r="55" spans="1:28" ht="15.6" x14ac:dyDescent="0.3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0">
        <f t="shared" si="1"/>
        <v>0</v>
      </c>
      <c r="O55" s="147"/>
      <c r="P55" s="92" t="s">
        <v>203</v>
      </c>
      <c r="S55"/>
      <c r="T55"/>
      <c r="U55"/>
      <c r="V55"/>
      <c r="W55"/>
      <c r="X55"/>
      <c r="Y55"/>
      <c r="Z55"/>
      <c r="AA55"/>
      <c r="AB55"/>
    </row>
    <row r="56" spans="1:28" ht="15.6" x14ac:dyDescent="0.3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0">
        <f t="shared" si="1"/>
        <v>0</v>
      </c>
      <c r="O56" s="147"/>
      <c r="P56" s="92" t="s">
        <v>204</v>
      </c>
      <c r="S56"/>
      <c r="T56"/>
      <c r="U56"/>
      <c r="V56"/>
      <c r="W56"/>
      <c r="X56"/>
      <c r="Y56"/>
      <c r="Z56"/>
      <c r="AA56"/>
      <c r="AB56"/>
    </row>
    <row r="57" spans="1:28" ht="15.6" x14ac:dyDescent="0.3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0">
        <f t="shared" si="1"/>
        <v>0</v>
      </c>
      <c r="O57" s="111"/>
      <c r="P57" s="91" t="s">
        <v>194</v>
      </c>
      <c r="Q57" s="12"/>
      <c r="R57" s="12"/>
    </row>
    <row r="58" spans="1:28" ht="15.6" x14ac:dyDescent="0.3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0">
        <f t="shared" si="1"/>
        <v>0</v>
      </c>
      <c r="O58" s="98" t="s">
        <v>119</v>
      </c>
      <c r="P58" s="92" t="s">
        <v>160</v>
      </c>
      <c r="R58" s="12"/>
    </row>
    <row r="59" spans="1:28" ht="15.6" x14ac:dyDescent="0.3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0">
        <f t="shared" si="1"/>
        <v>0</v>
      </c>
      <c r="O59" s="94"/>
      <c r="P59" s="91" t="s">
        <v>124</v>
      </c>
      <c r="Q59" s="12"/>
      <c r="R59" s="12"/>
    </row>
    <row r="60" spans="1:28" ht="15.6" x14ac:dyDescent="0.3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0">
        <f t="shared" si="1"/>
        <v>0</v>
      </c>
      <c r="O60" s="93" t="s">
        <v>36</v>
      </c>
      <c r="P60" s="90" t="s">
        <v>125</v>
      </c>
      <c r="Q60" s="12"/>
      <c r="R60" s="12"/>
    </row>
    <row r="61" spans="1:28" ht="15.6" x14ac:dyDescent="0.3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0">
        <f t="shared" si="1"/>
        <v>0</v>
      </c>
      <c r="O61" s="94"/>
      <c r="P61" s="91" t="s">
        <v>205</v>
      </c>
      <c r="Q61" s="12"/>
      <c r="R61" s="12"/>
    </row>
    <row r="62" spans="1:28" ht="15.6" x14ac:dyDescent="0.3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0">
        <f t="shared" si="1"/>
        <v>0</v>
      </c>
      <c r="O62" s="93" t="s">
        <v>68</v>
      </c>
      <c r="P62" s="90" t="s">
        <v>184</v>
      </c>
      <c r="Q62" s="12"/>
      <c r="R62" s="12"/>
    </row>
    <row r="63" spans="1:28" ht="15.6" x14ac:dyDescent="0.3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0">
        <f t="shared" si="1"/>
        <v>0</v>
      </c>
      <c r="O63" s="94"/>
      <c r="P63" s="91" t="s">
        <v>126</v>
      </c>
      <c r="Q63" s="12"/>
      <c r="R63" s="12"/>
    </row>
    <row r="64" spans="1:28" ht="15.6" x14ac:dyDescent="0.3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0">
        <f t="shared" si="1"/>
        <v>0</v>
      </c>
      <c r="O64" s="93" t="s">
        <v>120</v>
      </c>
      <c r="P64" s="90" t="s">
        <v>127</v>
      </c>
      <c r="Q64" s="12"/>
      <c r="R64" s="12"/>
    </row>
    <row r="65" spans="1:18" ht="15.6" x14ac:dyDescent="0.3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0">
        <f t="shared" si="1"/>
        <v>0</v>
      </c>
      <c r="O65" s="94"/>
      <c r="P65" s="91" t="s">
        <v>128</v>
      </c>
      <c r="Q65" s="12"/>
      <c r="R65" s="12"/>
    </row>
    <row r="66" spans="1:18" ht="15.6" x14ac:dyDescent="0.3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0">
        <f t="shared" si="1"/>
        <v>0</v>
      </c>
      <c r="O66" s="93" t="s">
        <v>121</v>
      </c>
      <c r="P66" s="90" t="s">
        <v>129</v>
      </c>
      <c r="Q66" s="12"/>
      <c r="R66" s="12"/>
    </row>
    <row r="67" spans="1:18" ht="15.6" x14ac:dyDescent="0.3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0">
        <f t="shared" si="1"/>
        <v>0</v>
      </c>
      <c r="O67" s="111"/>
      <c r="P67" s="91"/>
      <c r="Q67" s="12"/>
      <c r="R67" s="12"/>
    </row>
    <row r="68" spans="1:18" ht="15.6" x14ac:dyDescent="0.3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0">
        <f t="shared" si="1"/>
        <v>0</v>
      </c>
      <c r="Q68" s="12"/>
      <c r="R68" s="12"/>
    </row>
    <row r="69" spans="1:18" ht="15.6" x14ac:dyDescent="0.3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0">
        <f t="shared" si="1"/>
        <v>0</v>
      </c>
      <c r="Q69" s="12"/>
      <c r="R69" s="12"/>
    </row>
    <row r="70" spans="1:18" ht="15.6" x14ac:dyDescent="0.3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0">
        <f t="shared" si="1"/>
        <v>0</v>
      </c>
      <c r="Q70" s="12"/>
      <c r="R70" s="12"/>
    </row>
    <row r="71" spans="1:18" ht="15.6" x14ac:dyDescent="0.3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0">
        <f t="shared" si="1"/>
        <v>0</v>
      </c>
      <c r="Q71" s="12"/>
      <c r="R71" s="12"/>
    </row>
    <row r="72" spans="1:18" ht="15.6" x14ac:dyDescent="0.3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0">
        <f t="shared" si="1"/>
        <v>0</v>
      </c>
      <c r="Q72" s="12"/>
      <c r="R72" s="12"/>
    </row>
    <row r="73" spans="1:18" ht="15.6" x14ac:dyDescent="0.3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0">
        <f t="shared" si="1"/>
        <v>0</v>
      </c>
      <c r="Q73" s="12"/>
      <c r="R73" s="12"/>
    </row>
    <row r="74" spans="1:18" ht="15.6" x14ac:dyDescent="0.3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0">
        <f t="shared" si="1"/>
        <v>0</v>
      </c>
      <c r="Q74" s="12"/>
      <c r="R74" s="12"/>
    </row>
    <row r="75" spans="1:18" ht="15.6" x14ac:dyDescent="0.3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0">
        <f t="shared" si="1"/>
        <v>0</v>
      </c>
      <c r="Q75" s="12"/>
      <c r="R75" s="12"/>
    </row>
    <row r="76" spans="1:18" ht="15.6" x14ac:dyDescent="0.3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0">
        <f t="shared" si="1"/>
        <v>0</v>
      </c>
      <c r="R76" s="12"/>
    </row>
    <row r="77" spans="1:18" ht="15.6" x14ac:dyDescent="0.3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0">
        <f t="shared" si="1"/>
        <v>0</v>
      </c>
      <c r="R77" s="12"/>
    </row>
    <row r="78" spans="1:18" ht="15.6" x14ac:dyDescent="0.3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0">
        <f t="shared" si="1"/>
        <v>0</v>
      </c>
      <c r="Q78" s="12"/>
      <c r="R78" s="12"/>
    </row>
    <row r="79" spans="1:18" ht="16.2" thickBot="1" x14ac:dyDescent="0.35">
      <c r="A79" s="12" t="str">
        <f>ENCAISSEMENTS!A38</f>
        <v>oui</v>
      </c>
      <c r="B79" s="148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9">
        <f t="shared" si="1"/>
        <v>0</v>
      </c>
      <c r="R79" s="12"/>
    </row>
    <row r="80" spans="1:18" ht="18.600000000000001" thickBot="1" x14ac:dyDescent="0.4">
      <c r="A80" s="184" t="s">
        <v>167</v>
      </c>
      <c r="B80" s="185"/>
      <c r="C80" s="143">
        <f>SUMPRODUCT(C45:C79,ENCAISSEMENTS!$N$4:$N$38)</f>
        <v>200</v>
      </c>
      <c r="D80" s="143">
        <f>SUMPRODUCT(D45:D79,ENCAISSEMENTS!$N$4:$N$38)</f>
        <v>300</v>
      </c>
      <c r="E80" s="143">
        <f>SUMPRODUCT(E45:E79,ENCAISSEMENTS!$N$4:$N$38)</f>
        <v>220</v>
      </c>
      <c r="F80" s="143">
        <f>SUMPRODUCT(F45:F79,ENCAISSEMENTS!$N$4:$N$38)</f>
        <v>200</v>
      </c>
      <c r="G80" s="143">
        <f>SUMPRODUCT(G45:G79,ENCAISSEMENTS!$N$4:$N$38)</f>
        <v>42</v>
      </c>
      <c r="H80" s="143">
        <f>SUMPRODUCT(H45:H79,ENCAISSEMENTS!$N$4:$N$38)</f>
        <v>0</v>
      </c>
      <c r="I80" s="143">
        <f>SUMPRODUCT(I45:I79,ENCAISSEMENTS!$N$4:$N$38)</f>
        <v>0</v>
      </c>
      <c r="J80" s="143">
        <f>SUMPRODUCT(J45:J79,ENCAISSEMENTS!$N$4:$N$38)</f>
        <v>0</v>
      </c>
      <c r="K80" s="150">
        <f>SUM(D80:J80)</f>
        <v>762</v>
      </c>
      <c r="R80" s="12"/>
    </row>
    <row r="81" spans="2:17" x14ac:dyDescent="0.3">
      <c r="Q81" s="94"/>
    </row>
    <row r="82" spans="2:17" ht="25.8" x14ac:dyDescent="0.5">
      <c r="B82" s="183" t="s">
        <v>186</v>
      </c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</row>
    <row r="84" spans="2:17" x14ac:dyDescent="0.3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3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3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3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3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</cp:lastModifiedBy>
  <cp:lastPrinted>2015-07-06T14:54:07Z</cp:lastPrinted>
  <dcterms:created xsi:type="dcterms:W3CDTF">2012-12-14T09:34:10Z</dcterms:created>
  <dcterms:modified xsi:type="dcterms:W3CDTF">2020-10-28T12:27:12Z</dcterms:modified>
</cp:coreProperties>
</file>