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l="1"/>
  <c r="AB44" i="1" s="1"/>
  <c r="AB45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41" i="1"/>
  <c r="AB42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<sst xmlns="http://schemas.openxmlformats.org/spreadsheetml/2006/main" count="253" uniqueCount="206">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</sst>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16" zoomScale="80" zoomScaleNormal="80" workbookViewId="0">
      <selection activeCell="N40" sqref="N40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2.6640625" style="41" customWidth="1"/>
    <col min="5" max="5" width="8.44140625" style="41" customWidth="1"/>
    <col min="6" max="6" width="10.6640625" style="41" customWidth="1"/>
    <col min="7" max="11" width="8.44140625" style="41" customWidth="1"/>
    <col min="12" max="12" width="10.33203125" style="41" customWidth="1"/>
    <col min="13" max="13" width="9.5546875" style="41" customWidth="1"/>
    <col min="14" max="23" width="8.44140625" style="41" customWidth="1"/>
    <col min="24" max="25" width="11.5546875" style="41"/>
    <col min="26" max="26" width="14.6640625" style="41" customWidth="1"/>
    <col min="27" max="27" width="11.5546875" style="112"/>
    <col min="28" max="32" width="11.5546875" style="112" customWidth="1"/>
    <col min="33" max="35" width="11.5546875" style="112"/>
    <col min="36" max="16384" width="11.5546875" style="41"/>
  </cols>
  <sheetData>
    <row r="1" spans="1:39" s="40" customFormat="1" ht="16.95" customHeight="1" x14ac:dyDescent="0.4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95" customHeight="1" x14ac:dyDescent="0.3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3" t="s">
        <v>0</v>
      </c>
      <c r="L6" s="163"/>
      <c r="M6" s="163"/>
      <c r="N6" s="163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95" customHeight="1" x14ac:dyDescent="0.3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4.4" x14ac:dyDescent="0.3">
      <c r="A8" s="157" t="s">
        <v>23</v>
      </c>
      <c r="B8" s="158"/>
      <c r="C8" s="55">
        <f>ENCAISSEMENTS!C39</f>
        <v>200</v>
      </c>
      <c r="F8" s="157" t="s">
        <v>42</v>
      </c>
      <c r="G8" s="159"/>
      <c r="H8" s="158"/>
      <c r="I8" s="85">
        <v>5.0000000000000001E-3</v>
      </c>
      <c r="K8" s="157" t="s">
        <v>173</v>
      </c>
      <c r="L8" s="158"/>
      <c r="M8" s="57">
        <f>M9*M10</f>
        <v>42100</v>
      </c>
      <c r="N8" s="58">
        <f>M8/C11</f>
        <v>1.0095923261390887</v>
      </c>
      <c r="O8" s="157" t="s">
        <v>87</v>
      </c>
      <c r="P8" s="158"/>
      <c r="Q8" s="81"/>
      <c r="R8" s="41"/>
      <c r="S8" s="157" t="s">
        <v>192</v>
      </c>
      <c r="T8" s="159"/>
      <c r="U8" s="158"/>
      <c r="V8" s="154">
        <f>(M8+M14)/C11</f>
        <v>1.0095923261390887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4.4" x14ac:dyDescent="0.3">
      <c r="A9" s="161" t="s">
        <v>24</v>
      </c>
      <c r="B9" s="162"/>
      <c r="C9" s="59">
        <f>ENCAISSEMENTS!D39</f>
        <v>36</v>
      </c>
      <c r="F9" s="157" t="s">
        <v>3</v>
      </c>
      <c r="G9" s="159"/>
      <c r="H9" s="158"/>
      <c r="I9" s="85">
        <v>5.0000000000000001E-3</v>
      </c>
      <c r="K9" s="161" t="s">
        <v>96</v>
      </c>
      <c r="L9" s="162"/>
      <c r="M9" s="80">
        <v>842</v>
      </c>
      <c r="O9" s="157" t="s">
        <v>168</v>
      </c>
      <c r="P9" s="158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4.4" x14ac:dyDescent="0.3">
      <c r="A10" s="157" t="s">
        <v>26</v>
      </c>
      <c r="B10" s="158"/>
      <c r="C10" s="60">
        <f>ENCAISSEMENTS!E39</f>
        <v>44900</v>
      </c>
      <c r="F10" s="157" t="s">
        <v>4</v>
      </c>
      <c r="G10" s="159"/>
      <c r="H10" s="158"/>
      <c r="I10" s="82">
        <v>0.01</v>
      </c>
      <c r="K10" s="161" t="s">
        <v>97</v>
      </c>
      <c r="L10" s="162"/>
      <c r="M10" s="84">
        <v>50</v>
      </c>
      <c r="O10" s="157" t="s">
        <v>12</v>
      </c>
      <c r="P10" s="158"/>
      <c r="Q10" s="79"/>
      <c r="S10" s="157" t="s">
        <v>193</v>
      </c>
      <c r="T10" s="159"/>
      <c r="U10" s="158"/>
      <c r="V10" s="153">
        <f>DECAISSEMENTS!C39/(ENCAISSEMENTS!D39*1000)</f>
        <v>1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4.4" x14ac:dyDescent="0.3">
      <c r="A11" s="131" t="s">
        <v>28</v>
      </c>
      <c r="B11" s="132"/>
      <c r="C11" s="61">
        <f>DECAISSEMENTS!M39</f>
        <v>41700</v>
      </c>
      <c r="F11" s="157" t="s">
        <v>43</v>
      </c>
      <c r="G11" s="159"/>
      <c r="H11" s="158"/>
      <c r="I11" s="86">
        <v>0.57499999999999996</v>
      </c>
      <c r="K11" s="157" t="s">
        <v>30</v>
      </c>
      <c r="L11" s="158"/>
      <c r="M11" s="57">
        <f>1.01*C11-M8-Q8-M14</f>
        <v>17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4.4" x14ac:dyDescent="0.3">
      <c r="A12" s="131" t="s">
        <v>25</v>
      </c>
      <c r="B12" s="132"/>
      <c r="C12" s="61">
        <f>ENCAISSEMENTS!H39</f>
        <v>5096.1499999999996</v>
      </c>
      <c r="F12" s="157" t="s">
        <v>44</v>
      </c>
      <c r="G12" s="159"/>
      <c r="H12" s="158"/>
      <c r="I12" s="86">
        <v>0.57499999999999996</v>
      </c>
      <c r="K12" s="161" t="s">
        <v>45</v>
      </c>
      <c r="L12" s="162"/>
      <c r="M12" s="83">
        <v>8.9999999999999993E-3</v>
      </c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4.4" x14ac:dyDescent="0.3">
      <c r="A13" s="131" t="s">
        <v>29</v>
      </c>
      <c r="B13" s="132"/>
      <c r="C13" s="62">
        <f>DECAISSEMENTS!K80</f>
        <v>762</v>
      </c>
      <c r="F13" s="157" t="s">
        <v>14</v>
      </c>
      <c r="G13" s="159"/>
      <c r="H13" s="158"/>
      <c r="I13" s="86">
        <v>0.03</v>
      </c>
      <c r="K13" s="161" t="s">
        <v>12</v>
      </c>
      <c r="L13" s="162"/>
      <c r="M13" s="80">
        <v>10</v>
      </c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4.4" x14ac:dyDescent="0.3">
      <c r="A14" s="157" t="s">
        <v>38</v>
      </c>
      <c r="B14" s="158"/>
      <c r="C14" s="62">
        <f>DECAISSEMENTS!E84+DECAISSEMENTS!E85</f>
        <v>0</v>
      </c>
      <c r="F14" s="157" t="s">
        <v>34</v>
      </c>
      <c r="G14" s="159"/>
      <c r="H14" s="158"/>
      <c r="I14" s="86">
        <v>0.17199999999999999</v>
      </c>
      <c r="K14" s="161" t="s">
        <v>191</v>
      </c>
      <c r="L14" s="162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" customHeight="1" x14ac:dyDescent="0.3">
      <c r="A15" s="161" t="s">
        <v>63</v>
      </c>
      <c r="B15" s="162"/>
      <c r="C15" s="62">
        <f>DECAISSEMENTS!E86</f>
        <v>0</v>
      </c>
      <c r="F15" s="170" t="s">
        <v>46</v>
      </c>
      <c r="G15" s="171"/>
      <c r="H15" s="172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" customHeight="1" x14ac:dyDescent="0.3">
      <c r="A16" s="161" t="s">
        <v>190</v>
      </c>
      <c r="B16" s="162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95" customHeight="1" x14ac:dyDescent="0.3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95" customHeight="1" x14ac:dyDescent="0.3">
      <c r="A18" s="163" t="s">
        <v>2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95" customHeight="1" thickBot="1" x14ac:dyDescent="0.35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64" t="s">
        <v>31</v>
      </c>
      <c r="B21" s="165"/>
      <c r="C21" s="127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95" customHeight="1" x14ac:dyDescent="0.3">
      <c r="A22" s="164" t="s">
        <v>1</v>
      </c>
      <c r="B22" s="165"/>
      <c r="C22" s="127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2">
        <f t="shared" si="3"/>
        <v>610</v>
      </c>
      <c r="AF22" s="114">
        <f t="shared" si="5"/>
        <v>0.90000000000000024</v>
      </c>
    </row>
    <row r="23" spans="1:44" s="67" customFormat="1" ht="16.95" customHeight="1" x14ac:dyDescent="0.3">
      <c r="A23" s="166" t="s">
        <v>5</v>
      </c>
      <c r="B23" s="167"/>
      <c r="C23" s="129"/>
      <c r="D23" s="66">
        <f>D21-D22</f>
        <v>4283.1884999999993</v>
      </c>
      <c r="E23" s="66">
        <f t="shared" ref="E23:W23" si="8">E21-E22</f>
        <v>4275.4423702874983</v>
      </c>
      <c r="F23" s="66">
        <f t="shared" si="8"/>
        <v>4267.6200437282405</v>
      </c>
      <c r="G23" s="66">
        <f t="shared" si="8"/>
        <v>4259.720758322148</v>
      </c>
      <c r="H23" s="66">
        <f t="shared" si="8"/>
        <v>4251.7437444491379</v>
      </c>
      <c r="I23" s="66">
        <f t="shared" si="8"/>
        <v>4243.6882247929361</v>
      </c>
      <c r="J23" s="66">
        <f t="shared" si="8"/>
        <v>4235.5534142640981</v>
      </c>
      <c r="K23" s="66">
        <f t="shared" si="8"/>
        <v>4227.3385199222921</v>
      </c>
      <c r="L23" s="66">
        <f t="shared" si="8"/>
        <v>4219.0427408977803</v>
      </c>
      <c r="M23" s="66">
        <f t="shared" si="8"/>
        <v>4210.6652683121292</v>
      </c>
      <c r="N23" s="66">
        <f t="shared" si="8"/>
        <v>4202.2052851981216</v>
      </c>
      <c r="O23" s="66">
        <f t="shared" si="8"/>
        <v>4193.6619664188693</v>
      </c>
      <c r="P23" s="66">
        <f t="shared" si="8"/>
        <v>4185.0344785861143</v>
      </c>
      <c r="Q23" s="66">
        <f t="shared" si="8"/>
        <v>4176.3219799777198</v>
      </c>
      <c r="R23" s="66">
        <f t="shared" si="8"/>
        <v>4167.5236204543244</v>
      </c>
      <c r="S23" s="66">
        <f t="shared" si="8"/>
        <v>4158.6385413751796</v>
      </c>
      <c r="T23" s="66">
        <f t="shared" si="8"/>
        <v>4149.6658755131248</v>
      </c>
      <c r="U23" s="66">
        <f t="shared" si="8"/>
        <v>4140.6047469687328</v>
      </c>
      <c r="V23" s="66">
        <f t="shared" si="8"/>
        <v>4131.4542710835767</v>
      </c>
      <c r="W23" s="66">
        <f t="shared" si="8"/>
        <v>4122.2135543526556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95" customHeight="1" x14ac:dyDescent="0.3">
      <c r="A24" s="164" t="s">
        <v>84</v>
      </c>
      <c r="B24" s="165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95" customHeight="1" x14ac:dyDescent="0.3">
      <c r="A25" s="166" t="s">
        <v>6</v>
      </c>
      <c r="B25" s="167"/>
      <c r="C25" s="129"/>
      <c r="D25" s="66">
        <f>D23-D24</f>
        <v>4283.1884999999993</v>
      </c>
      <c r="E25" s="66">
        <f t="shared" ref="E25:I25" si="10">E23-E24</f>
        <v>4275.4423702874983</v>
      </c>
      <c r="F25" s="66">
        <f t="shared" si="10"/>
        <v>4267.6200437282405</v>
      </c>
      <c r="G25" s="66">
        <f t="shared" si="10"/>
        <v>4259.720758322148</v>
      </c>
      <c r="H25" s="66">
        <f t="shared" si="10"/>
        <v>4251.7437444491379</v>
      </c>
      <c r="I25" s="66">
        <f t="shared" si="10"/>
        <v>4243.6882247929361</v>
      </c>
      <c r="J25" s="66">
        <f t="shared" ref="J25" si="11">J23-J24</f>
        <v>4235.5534142640981</v>
      </c>
      <c r="K25" s="66">
        <f t="shared" ref="K25" si="12">K23-K24</f>
        <v>4227.3385199222921</v>
      </c>
      <c r="L25" s="66">
        <f t="shared" ref="L25" si="13">L23-L24</f>
        <v>4219.0427408977803</v>
      </c>
      <c r="M25" s="66">
        <f t="shared" ref="M25" si="14">M23-M24</f>
        <v>4210.6652683121292</v>
      </c>
      <c r="N25" s="66">
        <f t="shared" ref="N25" si="15">N23-N24</f>
        <v>4202.2052851981216</v>
      </c>
      <c r="O25" s="66">
        <f t="shared" ref="O25" si="16">O23-O24</f>
        <v>4193.6619664188693</v>
      </c>
      <c r="P25" s="66">
        <f t="shared" ref="P25" si="17">P23-P24</f>
        <v>4185.0344785861143</v>
      </c>
      <c r="Q25" s="66">
        <f t="shared" ref="Q25" si="18">Q23-Q24</f>
        <v>4176.3219799777198</v>
      </c>
      <c r="R25" s="66">
        <f t="shared" ref="R25" si="19">R23-R24</f>
        <v>4167.5236204543244</v>
      </c>
      <c r="S25" s="66">
        <f t="shared" ref="S25" si="20">S23-S24</f>
        <v>4158.6385413751796</v>
      </c>
      <c r="T25" s="66">
        <f t="shared" ref="T25" si="21">T23-T24</f>
        <v>4149.6658755131248</v>
      </c>
      <c r="U25" s="66">
        <f t="shared" ref="U25" si="22">U23-U24</f>
        <v>4140.6047469687328</v>
      </c>
      <c r="V25" s="66">
        <f t="shared" ref="V25" si="23">V23-V24</f>
        <v>4131.4542710835767</v>
      </c>
      <c r="W25" s="66">
        <f t="shared" ref="W25" si="24">W23-W24</f>
        <v>4122.2135543526556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95" customHeight="1" x14ac:dyDescent="0.3">
      <c r="A26" s="164" t="s">
        <v>7</v>
      </c>
      <c r="B26" s="165"/>
      <c r="C26" s="127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2">
        <f t="shared" si="3"/>
        <v>650</v>
      </c>
      <c r="AF26" s="114"/>
    </row>
    <row r="27" spans="1:44" ht="14.4" x14ac:dyDescent="0.3">
      <c r="A27" s="165" t="s">
        <v>8</v>
      </c>
      <c r="B27" s="168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95" customHeight="1" x14ac:dyDescent="0.3">
      <c r="A28" s="166" t="s">
        <v>9</v>
      </c>
      <c r="B28" s="167"/>
      <c r="C28" s="129"/>
      <c r="D28" s="66">
        <f t="shared" ref="D28:W28" si="26">D25-D26-D27</f>
        <v>2198.1884999999993</v>
      </c>
      <c r="E28" s="66">
        <f t="shared" si="26"/>
        <v>2190.4423702874983</v>
      </c>
      <c r="F28" s="66">
        <f t="shared" si="26"/>
        <v>2182.6200437282405</v>
      </c>
      <c r="G28" s="66">
        <f t="shared" si="26"/>
        <v>2174.720758322148</v>
      </c>
      <c r="H28" s="66">
        <f t="shared" si="26"/>
        <v>2166.7437444491379</v>
      </c>
      <c r="I28" s="66">
        <f t="shared" si="26"/>
        <v>2158.6882247929361</v>
      </c>
      <c r="J28" s="66">
        <f t="shared" si="26"/>
        <v>2150.5534142640981</v>
      </c>
      <c r="K28" s="66">
        <f t="shared" si="26"/>
        <v>2142.3385199222921</v>
      </c>
      <c r="L28" s="66">
        <f t="shared" si="26"/>
        <v>2134.0427408977803</v>
      </c>
      <c r="M28" s="66">
        <f t="shared" si="26"/>
        <v>2125.6652683121292</v>
      </c>
      <c r="N28" s="66">
        <f t="shared" si="26"/>
        <v>2117.2052851981216</v>
      </c>
      <c r="O28" s="66">
        <f t="shared" si="26"/>
        <v>2108.6619664188693</v>
      </c>
      <c r="P28" s="66">
        <f t="shared" si="26"/>
        <v>2100.0344785861143</v>
      </c>
      <c r="Q28" s="66">
        <f t="shared" si="26"/>
        <v>2091.3219799777198</v>
      </c>
      <c r="R28" s="66">
        <f t="shared" si="26"/>
        <v>2082.5236204543244</v>
      </c>
      <c r="S28" s="66">
        <f t="shared" si="26"/>
        <v>2073.6385413751796</v>
      </c>
      <c r="T28" s="66">
        <f t="shared" si="26"/>
        <v>2064.6658755131248</v>
      </c>
      <c r="U28" s="66">
        <f t="shared" si="26"/>
        <v>2055.6047469687328</v>
      </c>
      <c r="V28" s="66">
        <f t="shared" si="26"/>
        <v>2046.4542710835767</v>
      </c>
      <c r="W28" s="66">
        <f t="shared" si="26"/>
        <v>2037.2135543526556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95" customHeight="1" x14ac:dyDescent="0.3">
      <c r="A29" s="173" t="s">
        <v>13</v>
      </c>
      <c r="B29" s="174"/>
      <c r="C29" s="126"/>
      <c r="D29" s="60">
        <f t="shared" ref="D29:W29" si="27">IF(D20&lt;=$M$13,-IPMT($M$12,D20,$M$13,$M$11),0)</f>
        <v>0.153</v>
      </c>
      <c r="E29" s="60">
        <f t="shared" si="27"/>
        <v>0.13830947288499437</v>
      </c>
      <c r="F29" s="60">
        <f t="shared" si="27"/>
        <v>0.12348673102595377</v>
      </c>
      <c r="G29" s="60">
        <f t="shared" si="27"/>
        <v>0.10853058449018178</v>
      </c>
      <c r="H29" s="60">
        <f t="shared" si="27"/>
        <v>9.3439832635587833E-2</v>
      </c>
      <c r="I29" s="60">
        <f t="shared" si="27"/>
        <v>7.8213264014302564E-2</v>
      </c>
      <c r="J29" s="60">
        <f t="shared" si="27"/>
        <v>6.2849656275425686E-2</v>
      </c>
      <c r="K29" s="60">
        <f t="shared" si="27"/>
        <v>4.7347776066898939E-2</v>
      </c>
      <c r="L29" s="60">
        <f t="shared" si="27"/>
        <v>3.1706378936495444E-2</v>
      </c>
      <c r="M29" s="60">
        <f t="shared" si="27"/>
        <v>1.592420923191832E-2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4.4" x14ac:dyDescent="0.3">
      <c r="A30" s="164" t="s">
        <v>64</v>
      </c>
      <c r="B30" s="165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95" customHeight="1" x14ac:dyDescent="0.3">
      <c r="A31" s="166" t="s">
        <v>10</v>
      </c>
      <c r="B31" s="167"/>
      <c r="C31" s="129"/>
      <c r="D31" s="66">
        <f t="shared" ref="D31:W31" si="29">D28-D29-D30</f>
        <v>2198.0354999999995</v>
      </c>
      <c r="E31" s="66">
        <f t="shared" si="29"/>
        <v>2190.3040608146134</v>
      </c>
      <c r="F31" s="66">
        <f t="shared" si="29"/>
        <v>2182.4965569972146</v>
      </c>
      <c r="G31" s="66">
        <f t="shared" si="29"/>
        <v>2174.6122277376576</v>
      </c>
      <c r="H31" s="66">
        <f t="shared" si="29"/>
        <v>2166.6503046165021</v>
      </c>
      <c r="I31" s="66">
        <f t="shared" si="29"/>
        <v>2158.6100115289219</v>
      </c>
      <c r="J31" s="66">
        <f t="shared" si="29"/>
        <v>2150.4905646078228</v>
      </c>
      <c r="K31" s="66">
        <f t="shared" si="29"/>
        <v>2142.2911721462251</v>
      </c>
      <c r="L31" s="66">
        <f t="shared" si="29"/>
        <v>2134.0110345188436</v>
      </c>
      <c r="M31" s="66">
        <f t="shared" si="29"/>
        <v>2125.6493441028974</v>
      </c>
      <c r="N31" s="66">
        <f t="shared" si="29"/>
        <v>2117.2052851981216</v>
      </c>
      <c r="O31" s="66">
        <f t="shared" si="29"/>
        <v>2108.6619664188693</v>
      </c>
      <c r="P31" s="66">
        <f t="shared" si="29"/>
        <v>2100.0344785861143</v>
      </c>
      <c r="Q31" s="66">
        <f t="shared" si="29"/>
        <v>2091.3219799777198</v>
      </c>
      <c r="R31" s="66">
        <f t="shared" si="29"/>
        <v>2082.5236204543244</v>
      </c>
      <c r="S31" s="66">
        <f t="shared" si="29"/>
        <v>2073.6385413751796</v>
      </c>
      <c r="T31" s="66">
        <f t="shared" si="29"/>
        <v>2064.6658755131248</v>
      </c>
      <c r="U31" s="66">
        <f t="shared" si="29"/>
        <v>2055.6047469687328</v>
      </c>
      <c r="V31" s="66">
        <f t="shared" si="29"/>
        <v>2046.4542710835767</v>
      </c>
      <c r="W31" s="66">
        <f t="shared" si="29"/>
        <v>2037.2135543526556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4.4" x14ac:dyDescent="0.3">
      <c r="A32" s="164" t="s">
        <v>47</v>
      </c>
      <c r="B32" s="165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4.4" x14ac:dyDescent="0.3">
      <c r="A33" s="164" t="s">
        <v>82</v>
      </c>
      <c r="B33" s="165"/>
      <c r="C33" s="127"/>
      <c r="D33" s="60">
        <f>IF(D31&lt;0,0,IF(D31&lt;38120,IF(B4="SAS",0.15*D31,0.15*D31*(1-I11)),IF(B4="SAS",0.33*D31,0.33*D31*(1-I11))))</f>
        <v>140.12476312499999</v>
      </c>
      <c r="E33" s="60">
        <f>IF(E31+D32&lt;0,0,IF(E31&lt;38120,IF($B$4="SAS",0.15*(E31+D32),0.15*(E31+D32)*(1-$I$11)),IF($B$4="SAS",0.33*(E31+D32),0.33*(1-$I$11)*(E31+D32))))</f>
        <v>139.63188387693162</v>
      </c>
      <c r="F33" s="60">
        <f>IF(F31+E32&lt;0,0,IF(F31&lt;38120,IF($B$4="SAS",0.15*(F31+E32),0.15*(F31+E32)*(1-$I$11)),IF($B$4="SAS",0.33*(F31+E32),0.33*(1-$I$11)*(F31+E32))))</f>
        <v>139.13415550857243</v>
      </c>
      <c r="G33" s="60">
        <f t="shared" ref="G33:W33" si="41">IF(G31+F32&lt;0,0,IF(G31&lt;38120,IF($B$4="SAS",0.15*(G31+F32),0.15*(G31+F32)*(1-$I$12)),IF($B$4="SAS",0.33*(G31+F32),0.33*(1-$I$12)*(G31+F32))))</f>
        <v>138.63152951827567</v>
      </c>
      <c r="H33" s="60">
        <f t="shared" si="41"/>
        <v>138.123956919302</v>
      </c>
      <c r="I33" s="60">
        <f t="shared" si="41"/>
        <v>137.61138823496879</v>
      </c>
      <c r="J33" s="60">
        <f t="shared" si="41"/>
        <v>137.0937734937487</v>
      </c>
      <c r="K33" s="60">
        <f t="shared" si="41"/>
        <v>136.57106222432185</v>
      </c>
      <c r="L33" s="60">
        <f t="shared" si="41"/>
        <v>136.0432034505763</v>
      </c>
      <c r="M33" s="60">
        <f t="shared" si="41"/>
        <v>135.51014568655972</v>
      </c>
      <c r="N33" s="60">
        <f t="shared" si="41"/>
        <v>134.97183693138027</v>
      </c>
      <c r="O33" s="60">
        <f t="shared" si="41"/>
        <v>134.42720035920294</v>
      </c>
      <c r="P33" s="60">
        <f t="shared" si="41"/>
        <v>133.8771980098648</v>
      </c>
      <c r="Q33" s="60">
        <f t="shared" si="41"/>
        <v>133.32177622357966</v>
      </c>
      <c r="R33" s="60">
        <f t="shared" si="41"/>
        <v>132.76088080396318</v>
      </c>
      <c r="S33" s="60">
        <f t="shared" si="41"/>
        <v>132.1944570126677</v>
      </c>
      <c r="T33" s="60">
        <f t="shared" si="41"/>
        <v>131.62244956396171</v>
      </c>
      <c r="U33" s="60">
        <f t="shared" si="41"/>
        <v>131.04480261925673</v>
      </c>
      <c r="V33" s="60">
        <f t="shared" si="41"/>
        <v>130.46145978157801</v>
      </c>
      <c r="W33" s="60">
        <f t="shared" si="41"/>
        <v>129.8723640899818</v>
      </c>
      <c r="AB33" s="112">
        <f t="shared" si="3"/>
        <v>720</v>
      </c>
      <c r="AF33" s="114"/>
    </row>
    <row r="34" spans="1:35" s="67" customFormat="1" ht="16.95" customHeight="1" x14ac:dyDescent="0.3">
      <c r="A34" s="166" t="s">
        <v>11</v>
      </c>
      <c r="B34" s="167"/>
      <c r="C34" s="129"/>
      <c r="D34" s="66">
        <f t="shared" ref="D34:W34" si="42">D31-D33</f>
        <v>2057.9107368749997</v>
      </c>
      <c r="E34" s="66">
        <f t="shared" si="42"/>
        <v>2050.6721769376818</v>
      </c>
      <c r="F34" s="66">
        <f t="shared" si="42"/>
        <v>2043.3624014886423</v>
      </c>
      <c r="G34" s="66">
        <f t="shared" si="42"/>
        <v>2035.9806982193818</v>
      </c>
      <c r="H34" s="66">
        <f t="shared" si="42"/>
        <v>2028.5263476972002</v>
      </c>
      <c r="I34" s="66">
        <f t="shared" si="42"/>
        <v>2020.9986232939532</v>
      </c>
      <c r="J34" s="66">
        <f t="shared" si="42"/>
        <v>2013.3967911140739</v>
      </c>
      <c r="K34" s="66">
        <f t="shared" si="42"/>
        <v>2005.7201099219033</v>
      </c>
      <c r="L34" s="66">
        <f t="shared" si="42"/>
        <v>1997.9678310682673</v>
      </c>
      <c r="M34" s="66">
        <f t="shared" si="42"/>
        <v>1990.1391984163376</v>
      </c>
      <c r="N34" s="66">
        <f t="shared" si="42"/>
        <v>1982.2334482667413</v>
      </c>
      <c r="O34" s="66">
        <f t="shared" si="42"/>
        <v>1974.2347660596663</v>
      </c>
      <c r="P34" s="66">
        <f t="shared" si="42"/>
        <v>1966.1572805762496</v>
      </c>
      <c r="Q34" s="66">
        <f t="shared" si="42"/>
        <v>1958.0002037541401</v>
      </c>
      <c r="R34" s="66">
        <f t="shared" si="42"/>
        <v>1949.7627396503613</v>
      </c>
      <c r="S34" s="66">
        <f t="shared" si="42"/>
        <v>1941.4440843625118</v>
      </c>
      <c r="T34" s="66">
        <f t="shared" si="42"/>
        <v>1933.0434259491631</v>
      </c>
      <c r="U34" s="66">
        <f t="shared" si="42"/>
        <v>1924.5599443494762</v>
      </c>
      <c r="V34" s="66">
        <f t="shared" si="42"/>
        <v>1915.9928113019987</v>
      </c>
      <c r="W34" s="66">
        <f t="shared" si="42"/>
        <v>1907.3411902626738</v>
      </c>
      <c r="X34" s="156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95" customHeight="1" x14ac:dyDescent="0.3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95" customHeight="1" x14ac:dyDescent="0.3">
      <c r="A36" s="164" t="s">
        <v>32</v>
      </c>
      <c r="B36" s="165"/>
      <c r="C36" s="127"/>
      <c r="D36" s="60">
        <f t="shared" ref="D36:W36" si="43">D34+D27+D26</f>
        <v>4142.9107368749992</v>
      </c>
      <c r="E36" s="60">
        <f t="shared" si="43"/>
        <v>4135.6721769376818</v>
      </c>
      <c r="F36" s="60">
        <f t="shared" si="43"/>
        <v>4128.3624014886427</v>
      </c>
      <c r="G36" s="60">
        <f t="shared" si="43"/>
        <v>4120.9806982193822</v>
      </c>
      <c r="H36" s="60">
        <f t="shared" si="43"/>
        <v>4113.5263476972004</v>
      </c>
      <c r="I36" s="60">
        <f t="shared" si="43"/>
        <v>4105.9986232939536</v>
      </c>
      <c r="J36" s="60">
        <f t="shared" si="43"/>
        <v>4098.3967911140735</v>
      </c>
      <c r="K36" s="60">
        <f t="shared" si="43"/>
        <v>4090.7201099219033</v>
      </c>
      <c r="L36" s="60">
        <f t="shared" si="43"/>
        <v>4082.9678310682675</v>
      </c>
      <c r="M36" s="60">
        <f t="shared" si="43"/>
        <v>4075.1391984163374</v>
      </c>
      <c r="N36" s="60">
        <f t="shared" si="43"/>
        <v>4067.2334482667411</v>
      </c>
      <c r="O36" s="60">
        <f t="shared" si="43"/>
        <v>4059.2347660596661</v>
      </c>
      <c r="P36" s="60">
        <f t="shared" si="43"/>
        <v>4051.1572805762498</v>
      </c>
      <c r="Q36" s="60">
        <f t="shared" si="43"/>
        <v>4043.0002037541399</v>
      </c>
      <c r="R36" s="60">
        <f t="shared" si="43"/>
        <v>4034.7627396503613</v>
      </c>
      <c r="S36" s="60">
        <f t="shared" si="43"/>
        <v>4026.4440843625116</v>
      </c>
      <c r="T36" s="60">
        <f t="shared" si="43"/>
        <v>4018.0434259491631</v>
      </c>
      <c r="U36" s="60">
        <f t="shared" si="43"/>
        <v>4009.5599443494762</v>
      </c>
      <c r="V36" s="60">
        <f t="shared" si="43"/>
        <v>4000.9928113019987</v>
      </c>
      <c r="W36" s="60">
        <f t="shared" si="43"/>
        <v>3992.341190262674</v>
      </c>
      <c r="AB36" s="112">
        <f t="shared" si="3"/>
        <v>750</v>
      </c>
      <c r="AF36" s="114"/>
    </row>
    <row r="37" spans="1:35" ht="14.4" x14ac:dyDescent="0.3">
      <c r="A37" s="165" t="s">
        <v>21</v>
      </c>
      <c r="B37" s="168"/>
      <c r="C37" s="133">
        <f>-C11+M14</f>
        <v>-41700</v>
      </c>
      <c r="D37" s="60">
        <f>D36+D30+D29</f>
        <v>4143.0637368749994</v>
      </c>
      <c r="E37" s="60">
        <f>E36+E30+E29</f>
        <v>4135.8104864105671</v>
      </c>
      <c r="F37" s="60">
        <f t="shared" ref="F37:W37" si="44">F36+F30+F29</f>
        <v>4128.4858882196686</v>
      </c>
      <c r="G37" s="60">
        <f t="shared" si="44"/>
        <v>4121.0892288038722</v>
      </c>
      <c r="H37" s="60">
        <f t="shared" si="44"/>
        <v>4113.6197875298358</v>
      </c>
      <c r="I37" s="60">
        <f t="shared" si="44"/>
        <v>4106.0768365579679</v>
      </c>
      <c r="J37" s="60">
        <f t="shared" si="44"/>
        <v>4098.4596407703493</v>
      </c>
      <c r="K37" s="60">
        <f t="shared" si="44"/>
        <v>4090.7674576979703</v>
      </c>
      <c r="L37" s="60">
        <f t="shared" si="44"/>
        <v>4082.9995374472041</v>
      </c>
      <c r="M37" s="60">
        <f t="shared" si="44"/>
        <v>4075.1551226255692</v>
      </c>
      <c r="N37" s="60">
        <f t="shared" si="44"/>
        <v>4067.2334482667411</v>
      </c>
      <c r="O37" s="60">
        <f t="shared" si="44"/>
        <v>4059.2347660596661</v>
      </c>
      <c r="P37" s="60">
        <f t="shared" si="44"/>
        <v>4051.1572805762498</v>
      </c>
      <c r="Q37" s="60">
        <f t="shared" si="44"/>
        <v>4043.0002037541399</v>
      </c>
      <c r="R37" s="60">
        <f t="shared" si="44"/>
        <v>4034.7627396503613</v>
      </c>
      <c r="S37" s="60">
        <f t="shared" si="44"/>
        <v>4026.4440843625116</v>
      </c>
      <c r="T37" s="60">
        <f t="shared" si="44"/>
        <v>4018.0434259491631</v>
      </c>
      <c r="U37" s="60">
        <f t="shared" si="44"/>
        <v>4009.5599443494762</v>
      </c>
      <c r="V37" s="60">
        <f t="shared" si="44"/>
        <v>4000.9928113019987</v>
      </c>
      <c r="W37" s="60">
        <f t="shared" si="44"/>
        <v>3992.341190262674</v>
      </c>
      <c r="AB37" s="112">
        <f t="shared" si="3"/>
        <v>760</v>
      </c>
      <c r="AF37" s="114"/>
    </row>
    <row r="38" spans="1:35" ht="14.4" x14ac:dyDescent="0.3">
      <c r="A38" s="169" t="s">
        <v>174</v>
      </c>
      <c r="B38" s="169"/>
      <c r="C38" s="135">
        <f>-M8-Q8</f>
        <v>-42100</v>
      </c>
      <c r="D38" s="60">
        <f>D36</f>
        <v>4142.9107368749992</v>
      </c>
      <c r="E38" s="60">
        <f t="shared" ref="E38:W38" si="45">E36</f>
        <v>4135.6721769376818</v>
      </c>
      <c r="F38" s="60">
        <f t="shared" si="45"/>
        <v>4128.3624014886427</v>
      </c>
      <c r="G38" s="60">
        <f t="shared" si="45"/>
        <v>4120.9806982193822</v>
      </c>
      <c r="H38" s="60">
        <f t="shared" si="45"/>
        <v>4113.5263476972004</v>
      </c>
      <c r="I38" s="60">
        <f t="shared" si="45"/>
        <v>4105.9986232939536</v>
      </c>
      <c r="J38" s="60">
        <f t="shared" si="45"/>
        <v>4098.3967911140735</v>
      </c>
      <c r="K38" s="60">
        <f t="shared" si="45"/>
        <v>4090.7201099219033</v>
      </c>
      <c r="L38" s="60">
        <f t="shared" si="45"/>
        <v>4082.9678310682675</v>
      </c>
      <c r="M38" s="60">
        <f t="shared" si="45"/>
        <v>4075.1391984163374</v>
      </c>
      <c r="N38" s="60">
        <f t="shared" si="45"/>
        <v>4067.2334482667411</v>
      </c>
      <c r="O38" s="60">
        <f t="shared" si="45"/>
        <v>4059.2347660596661</v>
      </c>
      <c r="P38" s="60">
        <f t="shared" si="45"/>
        <v>4051.1572805762498</v>
      </c>
      <c r="Q38" s="60">
        <f t="shared" si="45"/>
        <v>4043.0002037541399</v>
      </c>
      <c r="R38" s="60">
        <f t="shared" si="45"/>
        <v>4034.7627396503613</v>
      </c>
      <c r="S38" s="60">
        <f t="shared" si="45"/>
        <v>4026.4440843625116</v>
      </c>
      <c r="T38" s="60">
        <f t="shared" si="45"/>
        <v>4018.0434259491631</v>
      </c>
      <c r="U38" s="60">
        <f t="shared" si="45"/>
        <v>4009.5599443494762</v>
      </c>
      <c r="V38" s="60">
        <f t="shared" si="45"/>
        <v>4000.9928113019987</v>
      </c>
      <c r="W38" s="60">
        <f t="shared" si="45"/>
        <v>3992.341190262674</v>
      </c>
      <c r="AB38" s="112">
        <f t="shared" si="3"/>
        <v>770</v>
      </c>
      <c r="AF38" s="114"/>
    </row>
    <row r="39" spans="1:35" ht="16.95" customHeight="1" x14ac:dyDescent="0.3">
      <c r="A39" s="164" t="s">
        <v>15</v>
      </c>
      <c r="B39" s="165"/>
      <c r="C39" s="127"/>
      <c r="D39" s="60">
        <f t="shared" ref="D39:W39" si="46">D36*(1+taux_actu)^-(D20-1)</f>
        <v>4142.9107368749992</v>
      </c>
      <c r="E39" s="60">
        <f t="shared" si="46"/>
        <v>4015.2157057647396</v>
      </c>
      <c r="F39" s="60">
        <f t="shared" si="46"/>
        <v>3891.3775110647966</v>
      </c>
      <c r="G39" s="60">
        <f t="shared" si="46"/>
        <v>3771.2811143308277</v>
      </c>
      <c r="H39" s="60">
        <f t="shared" si="46"/>
        <v>3654.8148811888918</v>
      </c>
      <c r="I39" s="60">
        <f t="shared" si="46"/>
        <v>3541.8704811226489</v>
      </c>
      <c r="J39" s="60">
        <f t="shared" si="46"/>
        <v>3432.3427902008443</v>
      </c>
      <c r="K39" s="60">
        <f t="shared" si="46"/>
        <v>3326.1297966590505</v>
      </c>
      <c r="L39" s="60">
        <f t="shared" si="46"/>
        <v>3223.1325092520319</v>
      </c>
      <c r="M39" s="60">
        <f t="shared" si="46"/>
        <v>3123.2548682956767</v>
      </c>
      <c r="N39" s="60">
        <f t="shared" si="46"/>
        <v>3026.4036593197065</v>
      </c>
      <c r="O39" s="60">
        <f t="shared" si="46"/>
        <v>2932.4775617109021</v>
      </c>
      <c r="P39" s="60">
        <f t="shared" si="46"/>
        <v>2841.4002080934615</v>
      </c>
      <c r="Q39" s="60">
        <f t="shared" si="46"/>
        <v>2753.0864063390727</v>
      </c>
      <c r="R39" s="60">
        <f t="shared" si="46"/>
        <v>2667.4534894363678</v>
      </c>
      <c r="S39" s="60">
        <f t="shared" si="46"/>
        <v>2584.4212410729156</v>
      </c>
      <c r="T39" s="60">
        <f t="shared" si="46"/>
        <v>2503.9118234022421</v>
      </c>
      <c r="U39" s="60">
        <f t="shared" si="46"/>
        <v>2425.8497069318787</v>
      </c>
      <c r="V39" s="60">
        <f t="shared" si="46"/>
        <v>2350.1616024703053</v>
      </c>
      <c r="W39" s="60">
        <f t="shared" si="46"/>
        <v>2276.7763950724916</v>
      </c>
      <c r="AB39" s="112">
        <f t="shared" si="3"/>
        <v>780</v>
      </c>
      <c r="AF39" s="114"/>
    </row>
    <row r="40" spans="1:35" s="67" customFormat="1" ht="16.95" customHeight="1" x14ac:dyDescent="0.3">
      <c r="A40" s="166" t="s">
        <v>16</v>
      </c>
      <c r="B40" s="167"/>
      <c r="C40" s="136">
        <f>-C11+M14</f>
        <v>-41700</v>
      </c>
      <c r="D40" s="66">
        <f>D39+C40</f>
        <v>-37557.089263125003</v>
      </c>
      <c r="E40" s="66">
        <f>D40+E39</f>
        <v>-33541.873557360261</v>
      </c>
      <c r="F40" s="66">
        <f t="shared" ref="F40:V40" si="47">E40+F39</f>
        <v>-29650.496046295462</v>
      </c>
      <c r="G40" s="66">
        <f t="shared" si="47"/>
        <v>-25879.214931964634</v>
      </c>
      <c r="H40" s="66">
        <f t="shared" si="47"/>
        <v>-22224.400050775741</v>
      </c>
      <c r="I40" s="66">
        <f t="shared" si="47"/>
        <v>-18682.529569653092</v>
      </c>
      <c r="J40" s="66">
        <f t="shared" si="47"/>
        <v>-15250.186779452248</v>
      </c>
      <c r="K40" s="66">
        <f t="shared" si="47"/>
        <v>-11924.056982793198</v>
      </c>
      <c r="L40" s="66">
        <f t="shared" si="47"/>
        <v>-8700.9244735411667</v>
      </c>
      <c r="M40" s="66">
        <f t="shared" si="47"/>
        <v>-5577.6696052454899</v>
      </c>
      <c r="N40" s="66">
        <f t="shared" si="47"/>
        <v>-2551.2659459257834</v>
      </c>
      <c r="O40" s="66">
        <f t="shared" si="47"/>
        <v>381.21161578511874</v>
      </c>
      <c r="P40" s="66">
        <f t="shared" si="47"/>
        <v>3222.6118238785803</v>
      </c>
      <c r="Q40" s="66">
        <f t="shared" si="47"/>
        <v>5975.698230217653</v>
      </c>
      <c r="R40" s="66">
        <f t="shared" si="47"/>
        <v>8643.1517196540208</v>
      </c>
      <c r="S40" s="66">
        <f t="shared" si="47"/>
        <v>11227.572960726937</v>
      </c>
      <c r="T40" s="66">
        <f t="shared" si="47"/>
        <v>13731.484784129179</v>
      </c>
      <c r="U40" s="66">
        <f t="shared" si="47"/>
        <v>16157.334491061058</v>
      </c>
      <c r="V40" s="66">
        <f t="shared" si="47"/>
        <v>18507.496093531365</v>
      </c>
      <c r="W40" s="66">
        <f>V40+W39</f>
        <v>20784.272488603856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95" customHeight="1" x14ac:dyDescent="0.3">
      <c r="AB41" s="112">
        <f>AB40+10</f>
        <v>800</v>
      </c>
    </row>
    <row r="42" spans="1:35" ht="14.4" x14ac:dyDescent="0.3">
      <c r="A42" s="164" t="s">
        <v>33</v>
      </c>
      <c r="B42" s="165"/>
      <c r="C42" s="127"/>
      <c r="D42" s="60">
        <f t="shared" ref="D42:W42" si="48">IF(D20&lt;4,IF(D31&lt;0,0,$I$11*D31),$I$12*D31)</f>
        <v>1263.8704124999997</v>
      </c>
      <c r="E42" s="60">
        <f t="shared" si="48"/>
        <v>1259.4248349684026</v>
      </c>
      <c r="F42" s="60">
        <f t="shared" si="48"/>
        <v>1254.9355202733982</v>
      </c>
      <c r="G42" s="60">
        <f t="shared" si="48"/>
        <v>1250.402030949153</v>
      </c>
      <c r="H42" s="60">
        <f t="shared" si="48"/>
        <v>1245.8239251544887</v>
      </c>
      <c r="I42" s="60">
        <f t="shared" si="48"/>
        <v>1241.20075662913</v>
      </c>
      <c r="J42" s="60">
        <f t="shared" si="48"/>
        <v>1236.5320746494981</v>
      </c>
      <c r="K42" s="60">
        <f t="shared" si="48"/>
        <v>1231.8174239840794</v>
      </c>
      <c r="L42" s="60">
        <f t="shared" si="48"/>
        <v>1227.0563448483349</v>
      </c>
      <c r="M42" s="60">
        <f t="shared" si="48"/>
        <v>1222.248372859166</v>
      </c>
      <c r="N42" s="60">
        <f t="shared" si="48"/>
        <v>1217.3930389889199</v>
      </c>
      <c r="O42" s="60">
        <f t="shared" si="48"/>
        <v>1212.4806306908497</v>
      </c>
      <c r="P42" s="60">
        <f t="shared" si="48"/>
        <v>1207.5198251870156</v>
      </c>
      <c r="Q42" s="60">
        <f t="shared" si="48"/>
        <v>1202.5101384871889</v>
      </c>
      <c r="R42" s="60">
        <f t="shared" si="48"/>
        <v>1197.4510817612363</v>
      </c>
      <c r="S42" s="60">
        <f t="shared" si="48"/>
        <v>1192.3421612907282</v>
      </c>
      <c r="T42" s="60">
        <f t="shared" si="48"/>
        <v>1187.1828784200466</v>
      </c>
      <c r="U42" s="60">
        <f t="shared" si="48"/>
        <v>1181.9727295070213</v>
      </c>
      <c r="V42" s="60">
        <f t="shared" si="48"/>
        <v>1176.7112058730565</v>
      </c>
      <c r="W42" s="60">
        <f t="shared" si="48"/>
        <v>1171.3977937527768</v>
      </c>
      <c r="AB42" s="112">
        <f>AB41+8</f>
        <v>808</v>
      </c>
      <c r="AF42" s="114"/>
    </row>
    <row r="43" spans="1:35" ht="14.4" x14ac:dyDescent="0.3">
      <c r="A43" s="164" t="s">
        <v>48</v>
      </c>
      <c r="B43" s="165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785.57866727022883</v>
      </c>
      <c r="H43" s="60">
        <f t="shared" si="49"/>
        <v>782.70242254271147</v>
      </c>
      <c r="I43" s="60">
        <f t="shared" si="49"/>
        <v>779.79786666482323</v>
      </c>
      <c r="J43" s="60">
        <f t="shared" si="49"/>
        <v>776.86471646457585</v>
      </c>
      <c r="K43" s="60">
        <f t="shared" si="49"/>
        <v>773.90268593782389</v>
      </c>
      <c r="L43" s="60">
        <f t="shared" si="49"/>
        <v>770.91148621993239</v>
      </c>
      <c r="M43" s="60">
        <f t="shared" si="49"/>
        <v>767.89082555717164</v>
      </c>
      <c r="N43" s="60">
        <f t="shared" si="49"/>
        <v>764.84040927782144</v>
      </c>
      <c r="O43" s="60">
        <f t="shared" si="49"/>
        <v>761.75413536881661</v>
      </c>
      <c r="P43" s="60">
        <f t="shared" si="49"/>
        <v>758.63745538923399</v>
      </c>
      <c r="Q43" s="60">
        <f t="shared" si="49"/>
        <v>755.49006526695121</v>
      </c>
      <c r="R43" s="60">
        <f t="shared" si="49"/>
        <v>752.31165788912494</v>
      </c>
      <c r="S43" s="60">
        <f t="shared" si="49"/>
        <v>749.10192307178363</v>
      </c>
      <c r="T43" s="60">
        <f t="shared" si="49"/>
        <v>745.8605475291165</v>
      </c>
      <c r="U43" s="60">
        <f t="shared" si="49"/>
        <v>742.58721484245484</v>
      </c>
      <c r="V43" s="60">
        <f t="shared" si="49"/>
        <v>739.28160542894216</v>
      </c>
      <c r="W43" s="60">
        <f t="shared" si="49"/>
        <v>735.94339650989696</v>
      </c>
      <c r="AB43" s="112">
        <f t="shared" si="3"/>
        <v>818</v>
      </c>
      <c r="AF43" s="114"/>
    </row>
    <row r="44" spans="1:35" ht="14.4" x14ac:dyDescent="0.3">
      <c r="A44" s="164" t="s">
        <v>49</v>
      </c>
      <c r="B44" s="165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650.45913649974955</v>
      </c>
      <c r="H44" s="60">
        <f t="shared" si="50"/>
        <v>648.07760586536517</v>
      </c>
      <c r="I44" s="60">
        <f t="shared" si="50"/>
        <v>645.67263359847368</v>
      </c>
      <c r="J44" s="60">
        <f t="shared" si="50"/>
        <v>643.24398523266882</v>
      </c>
      <c r="K44" s="60">
        <f t="shared" si="50"/>
        <v>640.7914239565182</v>
      </c>
      <c r="L44" s="60">
        <f t="shared" si="50"/>
        <v>638.31471059010403</v>
      </c>
      <c r="M44" s="60">
        <f t="shared" si="50"/>
        <v>635.81360356133814</v>
      </c>
      <c r="N44" s="60">
        <f t="shared" si="50"/>
        <v>633.28785888203618</v>
      </c>
      <c r="O44" s="60">
        <f t="shared" si="50"/>
        <v>630.73242408538022</v>
      </c>
      <c r="P44" s="60">
        <f t="shared" si="50"/>
        <v>628.15181306228578</v>
      </c>
      <c r="Q44" s="60">
        <f t="shared" si="50"/>
        <v>625.54577404103566</v>
      </c>
      <c r="R44" s="60">
        <f t="shared" si="50"/>
        <v>622.9140527321955</v>
      </c>
      <c r="S44" s="60">
        <f t="shared" si="50"/>
        <v>620.25639230343688</v>
      </c>
      <c r="T44" s="60">
        <f t="shared" si="50"/>
        <v>617.57253335410849</v>
      </c>
      <c r="U44" s="60">
        <f t="shared" si="50"/>
        <v>614.86221388955266</v>
      </c>
      <c r="V44" s="60">
        <f t="shared" si="50"/>
        <v>612.12516929516414</v>
      </c>
      <c r="W44" s="60">
        <f t="shared" si="50"/>
        <v>609.36113231019476</v>
      </c>
      <c r="AB44" s="112">
        <f t="shared" si="3"/>
        <v>828</v>
      </c>
      <c r="AF44" s="114"/>
    </row>
    <row r="45" spans="1:35" s="67" customFormat="1" ht="16.95" customHeight="1" x14ac:dyDescent="0.3">
      <c r="A45" s="166" t="s">
        <v>22</v>
      </c>
      <c r="B45" s="167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1.5450335783842034E-2</v>
      </c>
      <c r="H45" s="155">
        <f t="shared" si="51"/>
        <v>1.539376736022245E-2</v>
      </c>
      <c r="I45" s="155">
        <f t="shared" si="51"/>
        <v>1.5336642128229779E-2</v>
      </c>
      <c r="J45" s="155">
        <f t="shared" si="51"/>
        <v>1.5278954518590708E-2</v>
      </c>
      <c r="K45" s="155">
        <f t="shared" si="51"/>
        <v>1.5220698906330599E-2</v>
      </c>
      <c r="L45" s="155">
        <f t="shared" si="51"/>
        <v>1.5161869610216247E-2</v>
      </c>
      <c r="M45" s="155">
        <f t="shared" si="51"/>
        <v>1.5102460892193305E-2</v>
      </c>
      <c r="N45" s="155">
        <f t="shared" si="51"/>
        <v>1.5042466956817961E-2</v>
      </c>
      <c r="O45" s="155">
        <f t="shared" si="51"/>
        <v>1.4981767793001905E-2</v>
      </c>
      <c r="P45" s="155">
        <f t="shared" si="51"/>
        <v>1.4920470619056669E-2</v>
      </c>
      <c r="Q45" s="155">
        <f t="shared" si="51"/>
        <v>1.4858569454656429E-2</v>
      </c>
      <c r="R45" s="155">
        <f t="shared" si="51"/>
        <v>1.4796058259672102E-2</v>
      </c>
      <c r="S45" s="155">
        <f t="shared" si="51"/>
        <v>1.4732930933573323E-2</v>
      </c>
      <c r="T45" s="155">
        <f t="shared" si="51"/>
        <v>1.4669181314824429E-2</v>
      </c>
      <c r="U45" s="155">
        <f t="shared" si="51"/>
        <v>1.4604803180274411E-2</v>
      </c>
      <c r="V45" s="155">
        <f t="shared" si="51"/>
        <v>1.4539790244540716E-2</v>
      </c>
      <c r="W45" s="155">
        <f t="shared" si="51"/>
        <v>1.4474136159387051E-2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95" customHeight="1" x14ac:dyDescent="0.3">
      <c r="AB46" s="112">
        <v>842</v>
      </c>
    </row>
    <row r="47" spans="1:35" ht="16.95" customHeight="1" x14ac:dyDescent="0.3">
      <c r="A47" s="176" t="s">
        <v>35</v>
      </c>
      <c r="B47" s="177"/>
      <c r="C47" s="130"/>
      <c r="D47" s="71">
        <f t="shared" ref="D47:W47" si="52">IF(D20&lt;=$M$13,D25/-PMT($M$12,$M$13,$M$11),"")</f>
        <v>2399.1679755124906</v>
      </c>
      <c r="E47" s="71">
        <f t="shared" si="52"/>
        <v>2394.8290895773052</v>
      </c>
      <c r="F47" s="71">
        <f t="shared" si="52"/>
        <v>2390.4475230469102</v>
      </c>
      <c r="G47" s="71">
        <f t="shared" si="52"/>
        <v>2386.0228490976478</v>
      </c>
      <c r="H47" s="71">
        <f t="shared" si="52"/>
        <v>2381.5546366376211</v>
      </c>
      <c r="I47" s="71">
        <f t="shared" si="52"/>
        <v>2377.0424502640185</v>
      </c>
      <c r="J47" s="71">
        <f t="shared" si="52"/>
        <v>2372.4858502199977</v>
      </c>
      <c r="K47" s="71">
        <f t="shared" si="52"/>
        <v>2367.8843923511504</v>
      </c>
      <c r="L47" s="71">
        <f t="shared" si="52"/>
        <v>2363.2376280615244</v>
      </c>
      <c r="M47" s="71">
        <f t="shared" si="52"/>
        <v>2358.5451042692075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852</v>
      </c>
    </row>
    <row r="48" spans="1:35" ht="16.95" customHeight="1" x14ac:dyDescent="0.3">
      <c r="AB48" s="112">
        <f t="shared" ref="AB48:AB60" si="53">AB47+10</f>
        <v>862</v>
      </c>
    </row>
    <row r="49" spans="1:35" ht="16.95" customHeight="1" x14ac:dyDescent="0.3">
      <c r="A49" s="163" t="s">
        <v>17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AB49" s="112">
        <f t="shared" si="53"/>
        <v>872</v>
      </c>
    </row>
    <row r="50" spans="1:35" ht="16.95" customHeight="1" x14ac:dyDescent="0.3">
      <c r="AB50" s="112">
        <f t="shared" si="53"/>
        <v>882</v>
      </c>
    </row>
    <row r="51" spans="1:35" ht="16.95" customHeight="1" x14ac:dyDescent="0.3">
      <c r="A51" s="175" t="s">
        <v>18</v>
      </c>
      <c r="B51" s="175"/>
      <c r="C51" s="60">
        <f>W40</f>
        <v>20784.272488603856</v>
      </c>
      <c r="D51" s="88" t="str">
        <f>IF(C51&gt;0,"OK","PB")</f>
        <v>OK</v>
      </c>
      <c r="F51" s="73"/>
      <c r="AB51" s="112">
        <f t="shared" si="53"/>
        <v>892</v>
      </c>
    </row>
    <row r="52" spans="1:35" ht="16.95" customHeight="1" x14ac:dyDescent="0.3">
      <c r="A52" s="175" t="s">
        <v>40</v>
      </c>
      <c r="B52" s="175"/>
      <c r="C52" s="60">
        <f>SUM(D42:W42)</f>
        <v>24380.273180774493</v>
      </c>
      <c r="AB52" s="112">
        <f t="shared" si="53"/>
        <v>902</v>
      </c>
    </row>
    <row r="53" spans="1:35" ht="14.4" x14ac:dyDescent="0.3">
      <c r="A53" s="175" t="s">
        <v>19</v>
      </c>
      <c r="B53" s="175"/>
      <c r="C53" s="74">
        <f>IRR(C37:W37)</f>
        <v>7.4929320855117609E-2</v>
      </c>
      <c r="D53" s="134" t="str">
        <f>IF(C53&gt;M12,"OK","PB")</f>
        <v>OK</v>
      </c>
      <c r="AB53" s="112">
        <f t="shared" si="53"/>
        <v>912</v>
      </c>
    </row>
    <row r="54" spans="1:35" ht="29.4" customHeight="1" x14ac:dyDescent="0.3">
      <c r="A54" s="175" t="s">
        <v>20</v>
      </c>
      <c r="B54" s="175"/>
      <c r="C54" s="75">
        <f>AVERAGE(D34:W34)/M8</f>
        <v>4.7146609037488643E-2</v>
      </c>
      <c r="AB54" s="112">
        <f t="shared" si="53"/>
        <v>922</v>
      </c>
    </row>
    <row r="55" spans="1:35" ht="26.4" customHeight="1" x14ac:dyDescent="0.3">
      <c r="A55" s="175" t="s">
        <v>41</v>
      </c>
      <c r="B55" s="175"/>
      <c r="C55" s="75">
        <f>AVERAGE(D45:W45)</f>
        <v>1.2728245205771505E-2</v>
      </c>
      <c r="AB55" s="112">
        <f t="shared" si="53"/>
        <v>932</v>
      </c>
    </row>
    <row r="56" spans="1:35" ht="16.95" customHeight="1" x14ac:dyDescent="0.3">
      <c r="AB56" s="112">
        <f t="shared" si="53"/>
        <v>942</v>
      </c>
    </row>
    <row r="57" spans="1:35" ht="16.95" customHeight="1" x14ac:dyDescent="0.3">
      <c r="A57" s="76" t="s">
        <v>104</v>
      </c>
      <c r="B57" s="89">
        <f>C11/(C9*1000)</f>
        <v>1.1583333333333334</v>
      </c>
      <c r="AB57" s="112">
        <f t="shared" si="53"/>
        <v>952</v>
      </c>
    </row>
    <row r="58" spans="1:35" ht="16.95" customHeight="1" x14ac:dyDescent="0.3">
      <c r="D58" s="77"/>
      <c r="AB58" s="112">
        <f t="shared" si="53"/>
        <v>962</v>
      </c>
    </row>
    <row r="59" spans="1:35" s="78" customFormat="1" ht="16.95" customHeight="1" x14ac:dyDescent="0.3">
      <c r="AA59" s="119"/>
      <c r="AB59" s="112">
        <f t="shared" si="53"/>
        <v>972</v>
      </c>
      <c r="AC59" s="119"/>
      <c r="AD59" s="119"/>
      <c r="AE59" s="119"/>
      <c r="AF59" s="119"/>
      <c r="AG59" s="119"/>
      <c r="AH59" s="119"/>
      <c r="AI59" s="119"/>
    </row>
    <row r="60" spans="1:35" ht="16.95" customHeight="1" x14ac:dyDescent="0.3">
      <c r="AB60" s="112">
        <f t="shared" si="53"/>
        <v>982</v>
      </c>
    </row>
    <row r="61" spans="1:35" ht="16.95" customHeight="1" x14ac:dyDescent="0.3">
      <c r="AB61" s="112">
        <v>2440</v>
      </c>
    </row>
    <row r="62" spans="1:35" ht="16.95" customHeight="1" x14ac:dyDescent="0.3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8" t="s">
        <v>66</v>
      </c>
      <c r="B1" s="179"/>
      <c r="C1" s="179"/>
      <c r="D1" s="179"/>
      <c r="E1" s="179"/>
      <c r="F1" s="179"/>
      <c r="G1" s="179"/>
      <c r="H1" s="179"/>
      <c r="I1" s="102"/>
    </row>
    <row r="2" spans="1:27" x14ac:dyDescent="0.3">
      <c r="A2" s="121" t="s">
        <v>169</v>
      </c>
    </row>
    <row r="3" spans="1:27" s="100" customFormat="1" ht="33" x14ac:dyDescent="0.3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0" t="s">
        <v>166</v>
      </c>
      <c r="K6" s="123"/>
      <c r="N6" s="151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0"/>
      <c r="K7" s="123"/>
      <c r="N7" s="151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1" t="s">
        <v>152</v>
      </c>
      <c r="K10" s="124"/>
      <c r="N10" s="151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2"/>
      <c r="K11" s="124"/>
      <c r="N11" s="151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" x14ac:dyDescent="0.35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5096.1499999999996</v>
      </c>
      <c r="N39" s="100"/>
    </row>
    <row r="40" spans="1:14" customFormat="1" ht="6.75" customHeight="1" x14ac:dyDescent="0.3">
      <c r="F40" s="10"/>
      <c r="K40" s="12"/>
    </row>
    <row r="41" spans="1:14" x14ac:dyDescent="0.3">
      <c r="B41"/>
      <c r="N41" s="100"/>
    </row>
    <row r="42" spans="1:14" x14ac:dyDescent="0.3">
      <c r="B42"/>
      <c r="C42" s="2"/>
      <c r="D42" s="12"/>
      <c r="E42" s="12"/>
      <c r="F42" s="12"/>
      <c r="G42" s="12"/>
      <c r="H42" s="12"/>
      <c r="N42" s="100"/>
    </row>
    <row r="43" spans="1:14" x14ac:dyDescent="0.3">
      <c r="B43"/>
      <c r="D43" s="12"/>
      <c r="E43" s="12"/>
      <c r="F43" s="12"/>
      <c r="G43" s="12"/>
      <c r="H43" s="12"/>
      <c r="N43" s="100"/>
    </row>
    <row r="44" spans="1:14" x14ac:dyDescent="0.3">
      <c r="N44" s="100"/>
    </row>
    <row r="45" spans="1:14" x14ac:dyDescent="0.3">
      <c r="N45" s="100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3" t="s">
        <v>102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P1" s="108"/>
    </row>
    <row r="3" spans="1:29" s="18" customFormat="1" ht="32.25" customHeight="1" x14ac:dyDescent="0.3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3" t="s">
        <v>101</v>
      </c>
      <c r="P4" s="90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8.600000000000001" thickBot="1" x14ac:dyDescent="0.4">
      <c r="A39" s="184" t="s">
        <v>167</v>
      </c>
      <c r="B39" s="185"/>
      <c r="C39" s="143">
        <f>SUMPRODUCT(C4:C38,ENCAISSEMENTS!$N$4:$N$38)</f>
        <v>36000</v>
      </c>
      <c r="D39" s="143">
        <f>SUMPRODUCT(D4:D38,ENCAISSEMENTS!$N$4:$N$38)</f>
        <v>1700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2000</v>
      </c>
      <c r="L39" s="143">
        <f>SUMPRODUCT(L4:L38,ENCAISSEMENTS!$N$4:$N$38)</f>
        <v>2000</v>
      </c>
      <c r="M39" s="145">
        <f>SUM(C39:L39)</f>
        <v>41700</v>
      </c>
    </row>
    <row r="42" spans="1:22" ht="25.8" x14ac:dyDescent="0.5">
      <c r="B42" s="183" t="s">
        <v>103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O42" s="142" t="s">
        <v>106</v>
      </c>
      <c r="P42" s="109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10">
        <f>SUM(D45:J45)</f>
        <v>762</v>
      </c>
      <c r="O45" s="96"/>
      <c r="P45" s="92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8.600000000000001" thickBot="1" x14ac:dyDescent="0.4">
      <c r="A80" s="184" t="s">
        <v>167</v>
      </c>
      <c r="B80" s="185"/>
      <c r="C80" s="143">
        <f>SUMPRODUCT(C45:C79,ENCAISSEMENTS!$N$4:$N$38)</f>
        <v>200</v>
      </c>
      <c r="D80" s="143">
        <f>SUMPRODUCT(D45:D79,ENCAISSEMENTS!$N$4:$N$38)</f>
        <v>300</v>
      </c>
      <c r="E80" s="143">
        <f>SUMPRODUCT(E45:E79,ENCAISSEMENTS!$N$4:$N$38)</f>
        <v>220</v>
      </c>
      <c r="F80" s="143">
        <f>SUMPRODUCT(F45:F79,ENCAISSEMENTS!$N$4:$N$38)</f>
        <v>200</v>
      </c>
      <c r="G80" s="143">
        <f>SUMPRODUCT(G45:G79,ENCAISSEMENTS!$N$4:$N$38)</f>
        <v>42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762</v>
      </c>
      <c r="R80" s="12"/>
    </row>
    <row r="81" spans="2:17" x14ac:dyDescent="0.3">
      <c r="Q81" s="94"/>
    </row>
    <row r="82" spans="2:17" ht="25.8" x14ac:dyDescent="0.5">
      <c r="B82" s="183" t="s">
        <v>186</v>
      </c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2020-10-31T12:26:51Z</dcterms:modified>
</cp:coreProperties>
</file>