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ymnase odars\"/>
    </mc:Choice>
  </mc:AlternateContent>
  <bookViews>
    <workbookView xWindow="0" yWindow="0" windowWidth="28800" windowHeight="9735" tabRatio="731" activeTab="2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34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34" i="4"/>
  <c r="K34" i="4" s="1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G54" i="4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C34" i="4"/>
  <c r="AF5" i="1"/>
  <c r="AF6" i="1"/>
  <c r="AF7" i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38" i="1"/>
  <c r="U47" i="1"/>
  <c r="V47" i="1"/>
  <c r="W47" i="1"/>
  <c r="S29" i="1"/>
  <c r="T29" i="1"/>
  <c r="U29" i="1"/>
  <c r="V29" i="1"/>
  <c r="W29" i="1"/>
  <c r="O29" i="1"/>
  <c r="Q29" i="1"/>
  <c r="R29" i="1"/>
  <c r="N29" i="1"/>
  <c r="P29" i="1"/>
  <c r="T47" i="1"/>
  <c r="S47" i="1"/>
  <c r="O47" i="1"/>
  <c r="N47" i="1"/>
  <c r="P47" i="1"/>
  <c r="Q47" i="1"/>
  <c r="R47" i="1"/>
  <c r="K36" i="4" l="1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 l="1"/>
  <c r="K21" i="1"/>
  <c r="W21" i="1"/>
  <c r="N21" i="1"/>
  <c r="H21" i="1"/>
  <c r="M21" i="1"/>
  <c r="R21" i="1"/>
  <c r="J21" i="1"/>
  <c r="U21" i="1"/>
  <c r="O21" i="1"/>
  <c r="L21" i="1"/>
  <c r="E21" i="1"/>
  <c r="S21" i="1"/>
  <c r="Q21" i="1"/>
  <c r="P21" i="1"/>
  <c r="T21" i="1"/>
  <c r="I21" i="1"/>
  <c r="G21" i="1"/>
  <c r="E24" i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s="1"/>
  <c r="I26" i="1" s="1"/>
  <c r="V10" i="1"/>
  <c r="D25" i="1" l="1"/>
  <c r="U26" i="1"/>
  <c r="M11" i="1"/>
  <c r="G26" i="1"/>
  <c r="T26" i="1"/>
  <c r="F26" i="1"/>
  <c r="E26" i="1"/>
  <c r="R26" i="1"/>
  <c r="Q26" i="1"/>
  <c r="C40" i="1"/>
  <c r="H26" i="1"/>
  <c r="V26" i="1"/>
  <c r="C37" i="1"/>
  <c r="P26" i="1"/>
  <c r="J26" i="1"/>
  <c r="W26" i="1"/>
  <c r="S26" i="1"/>
  <c r="L26" i="1"/>
  <c r="N26" i="1"/>
  <c r="K26" i="1"/>
  <c r="V8" i="1"/>
  <c r="O26" i="1"/>
  <c r="K22" i="1"/>
  <c r="K23" i="1" s="1"/>
  <c r="K25" i="1" s="1"/>
  <c r="N22" i="1"/>
  <c r="N23" i="1" s="1"/>
  <c r="N25" i="1" s="1"/>
  <c r="N28" i="1" s="1"/>
  <c r="N31" i="1" s="1"/>
  <c r="P22" i="1"/>
  <c r="P23" i="1" s="1"/>
  <c r="P25" i="1" s="1"/>
  <c r="H22" i="1"/>
  <c r="H23" i="1" s="1"/>
  <c r="H25" i="1" s="1"/>
  <c r="Q22" i="1"/>
  <c r="Q23" i="1" s="1"/>
  <c r="Q25" i="1" s="1"/>
  <c r="Q28" i="1" s="1"/>
  <c r="Q31" i="1" s="1"/>
  <c r="S22" i="1"/>
  <c r="S23" i="1" s="1"/>
  <c r="S25" i="1" s="1"/>
  <c r="S28" i="1" s="1"/>
  <c r="S31" i="1" s="1"/>
  <c r="V22" i="1"/>
  <c r="V23" i="1" s="1"/>
  <c r="V25" i="1" s="1"/>
  <c r="M22" i="1"/>
  <c r="M23" i="1" s="1"/>
  <c r="M25" i="1" s="1"/>
  <c r="J22" i="1"/>
  <c r="J23" i="1" s="1"/>
  <c r="J25" i="1" s="1"/>
  <c r="F22" i="1"/>
  <c r="F23" i="1" s="1"/>
  <c r="F25" i="1" s="1"/>
  <c r="E22" i="1"/>
  <c r="E23" i="1" s="1"/>
  <c r="E25" i="1" s="1"/>
  <c r="O22" i="1"/>
  <c r="O23" i="1" s="1"/>
  <c r="O25" i="1" s="1"/>
  <c r="L22" i="1"/>
  <c r="L23" i="1" s="1"/>
  <c r="L25" i="1" s="1"/>
  <c r="G22" i="1"/>
  <c r="G23" i="1" s="1"/>
  <c r="G25" i="1" s="1"/>
  <c r="G28" i="1" s="1"/>
  <c r="R22" i="1"/>
  <c r="R23" i="1" s="1"/>
  <c r="R25" i="1" s="1"/>
  <c r="T22" i="1"/>
  <c r="T23" i="1" s="1"/>
  <c r="T25" i="1" s="1"/>
  <c r="T28" i="1" s="1"/>
  <c r="T31" i="1" s="1"/>
  <c r="W22" i="1"/>
  <c r="W23" i="1" s="1"/>
  <c r="W25" i="1" s="1"/>
  <c r="U22" i="1"/>
  <c r="U23" i="1" s="1"/>
  <c r="U25" i="1" s="1"/>
  <c r="U28" i="1" s="1"/>
  <c r="U31" i="1" s="1"/>
  <c r="I22" i="1"/>
  <c r="I23" i="1" s="1"/>
  <c r="I25" i="1" s="1"/>
  <c r="I28" i="1" s="1"/>
  <c r="B57" i="1"/>
  <c r="D26" i="1"/>
  <c r="M26" i="1"/>
  <c r="F28" i="1" l="1"/>
  <c r="J28" i="1"/>
  <c r="D28" i="1"/>
  <c r="M29" i="1"/>
  <c r="M47" i="1"/>
  <c r="E47" i="1"/>
  <c r="E29" i="1"/>
  <c r="J29" i="1"/>
  <c r="J31" i="1" s="1"/>
  <c r="J42" i="1" s="1"/>
  <c r="F29" i="1"/>
  <c r="F31" i="1" s="1"/>
  <c r="F42" i="1" s="1"/>
  <c r="F47" i="1"/>
  <c r="H47" i="1"/>
  <c r="G29" i="1"/>
  <c r="G31" i="1" s="1"/>
  <c r="G42" i="1" s="1"/>
  <c r="D29" i="1"/>
  <c r="D31" i="1" s="1"/>
  <c r="L47" i="1"/>
  <c r="I47" i="1"/>
  <c r="J47" i="1"/>
  <c r="G47" i="1"/>
  <c r="H29" i="1"/>
  <c r="I29" i="1"/>
  <c r="L29" i="1"/>
  <c r="K47" i="1"/>
  <c r="D47" i="1"/>
  <c r="K29" i="1"/>
  <c r="I31" i="1"/>
  <c r="I42" i="1" s="1"/>
  <c r="O28" i="1"/>
  <c r="O31" i="1" s="1"/>
  <c r="O42" i="1" s="1"/>
  <c r="H28" i="1"/>
  <c r="E28" i="1"/>
  <c r="U42" i="1"/>
  <c r="S42" i="1"/>
  <c r="N42" i="1"/>
  <c r="Q42" i="1"/>
  <c r="T42" i="1"/>
  <c r="V28" i="1"/>
  <c r="V31" i="1" s="1"/>
  <c r="R28" i="1"/>
  <c r="R31" i="1" s="1"/>
  <c r="P28" i="1"/>
  <c r="P31" i="1" s="1"/>
  <c r="W28" i="1"/>
  <c r="W31" i="1" s="1"/>
  <c r="L28" i="1"/>
  <c r="K28" i="1"/>
  <c r="M28" i="1"/>
  <c r="M31" i="1" s="1"/>
  <c r="L31" i="1" l="1"/>
  <c r="D33" i="1"/>
  <c r="D34" i="1" s="1"/>
  <c r="D32" i="1"/>
  <c r="D42" i="1"/>
  <c r="K31" i="1"/>
  <c r="K42" i="1" s="1"/>
  <c r="E31" i="1"/>
  <c r="E42" i="1" s="1"/>
  <c r="H31" i="1"/>
  <c r="H42" i="1" s="1"/>
  <c r="W42" i="1"/>
  <c r="M42" i="1"/>
  <c r="P42" i="1"/>
  <c r="R42" i="1"/>
  <c r="L42" i="1"/>
  <c r="V42" i="1"/>
  <c r="E32" i="1" l="1"/>
  <c r="D36" i="1"/>
  <c r="D43" i="1"/>
  <c r="D44" i="1" s="1"/>
  <c r="D45" i="1" s="1"/>
  <c r="E33" i="1"/>
  <c r="E34" i="1" s="1"/>
  <c r="D38" i="1"/>
  <c r="D37" i="1"/>
  <c r="C52" i="1"/>
  <c r="F32" i="1"/>
  <c r="F33" i="1"/>
  <c r="F34" i="1" s="1"/>
  <c r="F36" i="1" l="1"/>
  <c r="F38" i="1" s="1"/>
  <c r="F43" i="1"/>
  <c r="F44" i="1" s="1"/>
  <c r="F45" i="1" s="1"/>
  <c r="E36" i="1"/>
  <c r="E43" i="1"/>
  <c r="E44" i="1" s="1"/>
  <c r="E45" i="1" s="1"/>
  <c r="E38" i="1"/>
  <c r="E37" i="1"/>
  <c r="G32" i="1"/>
  <c r="G33" i="1"/>
  <c r="G34" i="1" s="1"/>
  <c r="G43" i="1" s="1"/>
  <c r="G44" i="1" s="1"/>
  <c r="G45" i="1" s="1"/>
  <c r="F37" i="1"/>
  <c r="G36" i="1" l="1"/>
  <c r="G38" i="1" s="1"/>
  <c r="H33" i="1"/>
  <c r="H34" i="1" s="1"/>
  <c r="H32" i="1"/>
  <c r="H43" i="1" l="1"/>
  <c r="H44" i="1" s="1"/>
  <c r="H45" i="1" s="1"/>
  <c r="H36" i="1"/>
  <c r="G37" i="1"/>
  <c r="I33" i="1"/>
  <c r="I34" i="1" s="1"/>
  <c r="I32" i="1"/>
  <c r="J33" i="1" l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<sst xmlns="http://schemas.openxmlformats.org/spreadsheetml/2006/main" count="237" uniqueCount="204">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</sst>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0" fillId="8" borderId="1" xfId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8" fillId="12" borderId="0" xfId="0" applyFont="1" applyFill="1" applyAlignment="1" applyProtection="1">
      <alignment horizontal="center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0" fillId="6" borderId="1" xfId="0" applyNumberFormat="1" applyFill="1" applyBorder="1" applyAlignment="1" applyProtection="1">
      <alignment horizontal="center"/>
      <protection locked="0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-56666.196220302496</c:v>
                </c:pt>
                <c:pt idx="1">
                  <c:v>-53370.939553279641</c:v>
                </c:pt>
                <c:pt idx="2">
                  <c:v>-50113.764006229816</c:v>
                </c:pt>
                <c:pt idx="3">
                  <c:v>-46894.209054138824</c:v>
                </c:pt>
                <c:pt idx="4">
                  <c:v>-43711.81957423385</c:v>
                </c:pt>
                <c:pt idx="5">
                  <c:v>-40566.145781310392</c:v>
                </c:pt>
                <c:pt idx="6">
                  <c:v>-37456.743163822939</c:v>
                </c:pt>
                <c:pt idx="7">
                  <c:v>-34383.172420730305</c:v>
                </c:pt>
                <c:pt idx="8">
                  <c:v>-31344.999399086631</c:v>
                </c:pt>
                <c:pt idx="9">
                  <c:v>-28341.795032369148</c:v>
                </c:pt>
                <c:pt idx="10">
                  <c:v>-25373.135279533926</c:v>
                </c:pt>
                <c:pt idx="11">
                  <c:v>-22512.85947441087</c:v>
                </c:pt>
                <c:pt idx="12">
                  <c:v>-19760.265668017659</c:v>
                </c:pt>
                <c:pt idx="13">
                  <c:v>-17114.664846076488</c:v>
                </c:pt>
                <c:pt idx="14">
                  <c:v>-14575.427774619571</c:v>
                </c:pt>
                <c:pt idx="15">
                  <c:v>-12146.993848136823</c:v>
                </c:pt>
                <c:pt idx="16">
                  <c:v>-9828.6920047930853</c:v>
                </c:pt>
                <c:pt idx="17">
                  <c:v>-7619.8642256018429</c:v>
                </c:pt>
                <c:pt idx="18">
                  <c:v>-5519.8654204157692</c:v>
                </c:pt>
                <c:pt idx="19">
                  <c:v>-3528.0633155891501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918176"/>
        <c:axId val="-72921984"/>
      </c:barChart>
      <c:catAx>
        <c:axId val="-7291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72921984"/>
        <c:crosses val="autoZero"/>
        <c:auto val="1"/>
        <c:lblAlgn val="ctr"/>
        <c:lblOffset val="100"/>
        <c:noMultiLvlLbl val="0"/>
      </c:catAx>
      <c:valAx>
        <c:axId val="-7292198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72918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496437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zoomScale="80" zoomScaleNormal="80" workbookViewId="0">
      <selection activeCell="M9" sqref="M9"/>
    </sheetView>
  </sheetViews>
  <sheetFormatPr baseColWidth="10" defaultColWidth="11.5703125" defaultRowHeight="16.899999999999999" customHeight="1" x14ac:dyDescent="0.25"/>
  <cols>
    <col min="1" max="1" width="23.5703125" style="39" customWidth="1"/>
    <col min="2" max="2" width="16.5703125" style="39" customWidth="1"/>
    <col min="3" max="3" width="13.28515625" style="39" customWidth="1"/>
    <col min="4" max="4" width="16" style="39" customWidth="1"/>
    <col min="5" max="5" width="12.42578125" style="39" customWidth="1"/>
    <col min="6" max="6" width="10.7109375" style="39" customWidth="1"/>
    <col min="7" max="11" width="8.42578125" style="39" customWidth="1"/>
    <col min="12" max="12" width="10.28515625" style="39" customWidth="1"/>
    <col min="13" max="13" width="9.5703125" style="39" customWidth="1"/>
    <col min="14" max="23" width="8.42578125" style="39" customWidth="1"/>
    <col min="24" max="25" width="11.5703125" style="39"/>
    <col min="26" max="26" width="14.7109375" style="39" customWidth="1"/>
    <col min="27" max="27" width="11.5703125" style="109"/>
    <col min="28" max="32" width="11.5703125" style="109" customWidth="1"/>
    <col min="33" max="35" width="11.5703125" style="109"/>
    <col min="36" max="16384" width="11.5703125" style="39"/>
  </cols>
  <sheetData>
    <row r="1" spans="1:39" s="38" customFormat="1" ht="16.899999999999999" customHeight="1" x14ac:dyDescent="0.35">
      <c r="A1" s="184" t="s">
        <v>120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899999999999999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899999999999999" customHeight="1" x14ac:dyDescent="0.25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899999999999999" customHeight="1" x14ac:dyDescent="0.25">
      <c r="A4" s="39" t="s">
        <v>77</v>
      </c>
      <c r="B4" s="78" t="s">
        <v>79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89999999999999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899999999999999" customHeight="1" x14ac:dyDescent="0.25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3" t="s">
        <v>0</v>
      </c>
      <c r="L6" s="173"/>
      <c r="M6" s="173"/>
      <c r="N6" s="173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899999999999999" customHeight="1" x14ac:dyDescent="0.25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5" x14ac:dyDescent="0.25">
      <c r="A8" s="170" t="s">
        <v>23</v>
      </c>
      <c r="B8" s="171"/>
      <c r="C8" s="53">
        <f>ENCAISSEMENTS!C24</f>
        <v>340</v>
      </c>
      <c r="F8" s="170" t="s">
        <v>42</v>
      </c>
      <c r="G8" s="172"/>
      <c r="H8" s="171"/>
      <c r="I8" s="83">
        <v>5.0000000000000001E-3</v>
      </c>
      <c r="K8" s="170" t="s">
        <v>143</v>
      </c>
      <c r="L8" s="171"/>
      <c r="M8" s="55">
        <v>20000</v>
      </c>
      <c r="N8" s="56"/>
      <c r="O8" s="170" t="s">
        <v>83</v>
      </c>
      <c r="P8" s="171"/>
      <c r="Q8" s="79"/>
      <c r="R8" s="39"/>
      <c r="S8" s="170" t="s">
        <v>159</v>
      </c>
      <c r="T8" s="172"/>
      <c r="U8" s="171"/>
      <c r="V8" s="162">
        <f>(M8+M14)/C11</f>
        <v>0.33333333333333331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5" x14ac:dyDescent="0.25">
      <c r="A9" s="168" t="s">
        <v>24</v>
      </c>
      <c r="B9" s="169"/>
      <c r="C9" s="57">
        <f>ENCAISSEMENTS!D24</f>
        <v>70</v>
      </c>
      <c r="F9" s="170" t="s">
        <v>3</v>
      </c>
      <c r="G9" s="172"/>
      <c r="H9" s="171"/>
      <c r="I9" s="83">
        <v>5.0000000000000001E-3</v>
      </c>
      <c r="K9" s="168" t="s">
        <v>92</v>
      </c>
      <c r="L9" s="169"/>
      <c r="M9" s="78">
        <v>480</v>
      </c>
      <c r="O9" s="170" t="s">
        <v>139</v>
      </c>
      <c r="P9" s="171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5" x14ac:dyDescent="0.25">
      <c r="A10" s="170" t="s">
        <v>26</v>
      </c>
      <c r="B10" s="171"/>
      <c r="C10" s="58">
        <f>ENCAISSEMENTS!E24</f>
        <v>83414</v>
      </c>
      <c r="F10" s="170" t="s">
        <v>4</v>
      </c>
      <c r="G10" s="172"/>
      <c r="H10" s="171"/>
      <c r="I10" s="80">
        <v>0.02</v>
      </c>
      <c r="K10" s="168" t="s">
        <v>93</v>
      </c>
      <c r="L10" s="169"/>
      <c r="M10" s="82">
        <v>50</v>
      </c>
      <c r="O10" s="170" t="s">
        <v>12</v>
      </c>
      <c r="P10" s="171"/>
      <c r="Q10" s="77"/>
      <c r="S10" s="170" t="s">
        <v>160</v>
      </c>
      <c r="T10" s="172"/>
      <c r="U10" s="171"/>
      <c r="V10" s="146">
        <f>DECAISSEMENTS!C24/(ENCAISSEMENTS!D24*1000)</f>
        <v>0.8571428571428571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5" x14ac:dyDescent="0.25">
      <c r="A11" s="128" t="s">
        <v>28</v>
      </c>
      <c r="B11" s="129"/>
      <c r="C11" s="59">
        <f>DECAISSEMENTS!M24</f>
        <v>60000</v>
      </c>
      <c r="F11" s="170" t="s">
        <v>43</v>
      </c>
      <c r="G11" s="172"/>
      <c r="H11" s="171"/>
      <c r="I11" s="84">
        <v>0.57499999999999996</v>
      </c>
      <c r="K11" s="170" t="s">
        <v>30</v>
      </c>
      <c r="L11" s="171"/>
      <c r="M11" s="55">
        <f>1.01*C11-M8-Q8-M14</f>
        <v>40600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5" x14ac:dyDescent="0.25">
      <c r="A12" s="128" t="s">
        <v>25</v>
      </c>
      <c r="B12" s="129"/>
      <c r="C12" s="59">
        <f>ENCAISSEMENTS!H24</f>
        <v>7899.305800000001</v>
      </c>
      <c r="F12" s="170" t="s">
        <v>44</v>
      </c>
      <c r="G12" s="172"/>
      <c r="H12" s="171"/>
      <c r="I12" s="85">
        <v>0.57499999999999996</v>
      </c>
      <c r="K12" s="168" t="s">
        <v>45</v>
      </c>
      <c r="L12" s="169"/>
      <c r="M12" s="81">
        <v>0.02</v>
      </c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5" x14ac:dyDescent="0.25">
      <c r="A13" s="128" t="s">
        <v>29</v>
      </c>
      <c r="B13" s="129"/>
      <c r="C13" s="60">
        <f>DECAISSEMENTS!K54+DECAISSEMENTS!H30-DECAISSEMENTS!H54</f>
        <v>3651.7799999999997</v>
      </c>
      <c r="F13" s="170" t="s">
        <v>14</v>
      </c>
      <c r="G13" s="172"/>
      <c r="H13" s="171"/>
      <c r="I13" s="85">
        <f>(M8*C55+M11*M12*(1-0.15))/(M8+M11)</f>
        <v>1.196086219494006E-2</v>
      </c>
      <c r="K13" s="168" t="s">
        <v>12</v>
      </c>
      <c r="L13" s="169"/>
      <c r="M13" s="78">
        <v>10</v>
      </c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5" x14ac:dyDescent="0.25">
      <c r="A14" s="170" t="s">
        <v>38</v>
      </c>
      <c r="B14" s="171"/>
      <c r="C14" s="60">
        <f>DECAISSEMENTS!E58+DECAISSEMENTS!E59</f>
        <v>0</v>
      </c>
      <c r="F14" s="170" t="s">
        <v>34</v>
      </c>
      <c r="G14" s="172"/>
      <c r="H14" s="171"/>
      <c r="I14" s="85">
        <v>0.17199999999999999</v>
      </c>
      <c r="K14" s="168" t="s">
        <v>158</v>
      </c>
      <c r="L14" s="169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5" customHeight="1" x14ac:dyDescent="0.25">
      <c r="A15" s="168" t="s">
        <v>62</v>
      </c>
      <c r="B15" s="169"/>
      <c r="C15" s="60">
        <f>DECAISSEMENTS!E60</f>
        <v>0</v>
      </c>
      <c r="F15" s="179" t="s">
        <v>46</v>
      </c>
      <c r="G15" s="180"/>
      <c r="H15" s="181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5" customHeight="1" x14ac:dyDescent="0.25">
      <c r="A16" s="168" t="s">
        <v>157</v>
      </c>
      <c r="B16" s="169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899999999999999" customHeight="1" x14ac:dyDescent="0.25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899999999999999" customHeight="1" x14ac:dyDescent="0.25">
      <c r="A18" s="173" t="s">
        <v>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899999999999999" customHeight="1" thickBot="1" x14ac:dyDescent="0.3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64" t="s">
        <v>31</v>
      </c>
      <c r="B21" s="165"/>
      <c r="C21" s="124"/>
      <c r="D21" s="58">
        <f>C12*$I$15</f>
        <v>7820.312742000001</v>
      </c>
      <c r="E21" s="58">
        <f t="shared" ref="E21:W21" si="4">$D$21*(1-perte_prod)^(E20-1)*(1+index_tarif)^(E20-1)</f>
        <v>7820.1172341814499</v>
      </c>
      <c r="F21" s="58">
        <f t="shared" si="4"/>
        <v>7819.9217312505943</v>
      </c>
      <c r="G21" s="58">
        <f t="shared" si="4"/>
        <v>7819.7262332073124</v>
      </c>
      <c r="H21" s="58">
        <f t="shared" si="4"/>
        <v>7819.5307400514803</v>
      </c>
      <c r="I21" s="58">
        <f t="shared" si="4"/>
        <v>7819.335251782978</v>
      </c>
      <c r="J21" s="58">
        <f t="shared" si="4"/>
        <v>7819.139768401682</v>
      </c>
      <c r="K21" s="58">
        <f t="shared" si="4"/>
        <v>7818.9442899074711</v>
      </c>
      <c r="L21" s="58">
        <f t="shared" si="4"/>
        <v>7818.7488163002226</v>
      </c>
      <c r="M21" s="58">
        <f t="shared" si="4"/>
        <v>7818.5533475798147</v>
      </c>
      <c r="N21" s="58">
        <f t="shared" si="4"/>
        <v>7818.3578837461237</v>
      </c>
      <c r="O21" s="58">
        <f t="shared" si="4"/>
        <v>7818.1624247990294</v>
      </c>
      <c r="P21" s="58">
        <f t="shared" si="4"/>
        <v>7817.9669707384073</v>
      </c>
      <c r="Q21" s="58">
        <f t="shared" si="4"/>
        <v>7817.7715215641392</v>
      </c>
      <c r="R21" s="58">
        <f t="shared" si="4"/>
        <v>7817.5760772760987</v>
      </c>
      <c r="S21" s="58">
        <f t="shared" si="4"/>
        <v>7817.3806378741647</v>
      </c>
      <c r="T21" s="58">
        <f t="shared" si="4"/>
        <v>7817.1852033582163</v>
      </c>
      <c r="U21" s="58">
        <f t="shared" si="4"/>
        <v>7816.9897737281326</v>
      </c>
      <c r="V21" s="58">
        <f t="shared" si="4"/>
        <v>7816.7943489837871</v>
      </c>
      <c r="W21" s="58">
        <f t="shared" si="4"/>
        <v>7816.5989291250617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899999999999999" customHeight="1" x14ac:dyDescent="0.25">
      <c r="A22" s="164" t="s">
        <v>1</v>
      </c>
      <c r="B22" s="165"/>
      <c r="C22" s="124"/>
      <c r="D22" s="58">
        <f>C14+C13</f>
        <v>3651.7799999999997</v>
      </c>
      <c r="E22" s="58">
        <f t="shared" ref="E22:M22" si="6">$C$13*(1+inflation)^(E20-1)</f>
        <v>3724.8155999999999</v>
      </c>
      <c r="F22" s="58">
        <f t="shared" si="6"/>
        <v>3799.3119119999997</v>
      </c>
      <c r="G22" s="58">
        <f t="shared" si="6"/>
        <v>3875.2981502399994</v>
      </c>
      <c r="H22" s="58">
        <f t="shared" si="6"/>
        <v>3952.8041132447997</v>
      </c>
      <c r="I22" s="58">
        <f t="shared" si="6"/>
        <v>4031.8601955096956</v>
      </c>
      <c r="J22" s="58">
        <f t="shared" si="6"/>
        <v>4112.4973994198899</v>
      </c>
      <c r="K22" s="58">
        <f t="shared" si="6"/>
        <v>4194.7473474082872</v>
      </c>
      <c r="L22" s="58">
        <f t="shared" si="6"/>
        <v>4278.642294356453</v>
      </c>
      <c r="M22" s="58">
        <f t="shared" si="6"/>
        <v>4364.215140243582</v>
      </c>
      <c r="N22" s="58">
        <f>(C15+C13+C16/5)*(1+inflation)^(N20-1)</f>
        <v>4451.4994430484539</v>
      </c>
      <c r="O22" s="58">
        <f>($C$13+C16/5)*(1+inflation)^(O20-1)</f>
        <v>4540.5294319094219</v>
      </c>
      <c r="P22" s="58">
        <f>($C$13+C16/5)*(1+inflation)^(P20-1)</f>
        <v>4631.3400205476109</v>
      </c>
      <c r="Q22" s="58">
        <f>($C$13+C16/5)*(1+inflation)^(Q20-1)</f>
        <v>4723.9668209585634</v>
      </c>
      <c r="R22" s="58">
        <f>($C$13+C16/5)*(1+inflation)^(R20-1)</f>
        <v>4818.4461573777353</v>
      </c>
      <c r="S22" s="58">
        <f t="shared" ref="S22:W22" si="7">$C$13*(1+inflation)^(S20-1)</f>
        <v>4914.8150805252881</v>
      </c>
      <c r="T22" s="58">
        <f t="shared" si="7"/>
        <v>5013.1113821357949</v>
      </c>
      <c r="U22" s="58">
        <f t="shared" si="7"/>
        <v>5113.3736097785113</v>
      </c>
      <c r="V22" s="58">
        <f t="shared" si="7"/>
        <v>5215.6410819740804</v>
      </c>
      <c r="W22" s="58">
        <f t="shared" si="7"/>
        <v>5319.953903613562</v>
      </c>
      <c r="AB22" s="109">
        <f t="shared" si="3"/>
        <v>610</v>
      </c>
      <c r="AF22" s="111">
        <f t="shared" si="5"/>
        <v>0.90000000000000024</v>
      </c>
    </row>
    <row r="23" spans="1:44" s="65" customFormat="1" ht="16.899999999999999" customHeight="1" x14ac:dyDescent="0.25">
      <c r="A23" s="166" t="s">
        <v>5</v>
      </c>
      <c r="B23" s="167"/>
      <c r="C23" s="126"/>
      <c r="D23" s="64">
        <f>D21-D22</f>
        <v>4168.5327420000012</v>
      </c>
      <c r="E23" s="64">
        <f t="shared" ref="E23:W23" si="8">E21-E22</f>
        <v>4095.30163418145</v>
      </c>
      <c r="F23" s="64">
        <f t="shared" si="8"/>
        <v>4020.6098192505947</v>
      </c>
      <c r="G23" s="64">
        <f t="shared" si="8"/>
        <v>3944.428082967313</v>
      </c>
      <c r="H23" s="64">
        <f t="shared" si="8"/>
        <v>3866.7266268066805</v>
      </c>
      <c r="I23" s="64">
        <f t="shared" si="8"/>
        <v>3787.4750562732825</v>
      </c>
      <c r="J23" s="64">
        <f t="shared" si="8"/>
        <v>3706.6423689817921</v>
      </c>
      <c r="K23" s="64">
        <f t="shared" si="8"/>
        <v>3624.1969424991839</v>
      </c>
      <c r="L23" s="64">
        <f t="shared" si="8"/>
        <v>3540.1065219437696</v>
      </c>
      <c r="M23" s="64">
        <f t="shared" si="8"/>
        <v>3454.3382073362327</v>
      </c>
      <c r="N23" s="64">
        <f t="shared" si="8"/>
        <v>3366.8584406976697</v>
      </c>
      <c r="O23" s="64">
        <f t="shared" si="8"/>
        <v>3277.6329928896075</v>
      </c>
      <c r="P23" s="64">
        <f t="shared" si="8"/>
        <v>3186.6269501907964</v>
      </c>
      <c r="Q23" s="64">
        <f t="shared" si="8"/>
        <v>3093.8047006055758</v>
      </c>
      <c r="R23" s="64">
        <f t="shared" si="8"/>
        <v>2999.1299198983634</v>
      </c>
      <c r="S23" s="64">
        <f t="shared" si="8"/>
        <v>2902.5655573488766</v>
      </c>
      <c r="T23" s="64">
        <f t="shared" si="8"/>
        <v>2804.0738212224214</v>
      </c>
      <c r="U23" s="64">
        <f t="shared" si="8"/>
        <v>2703.6161639496213</v>
      </c>
      <c r="V23" s="64">
        <f t="shared" si="8"/>
        <v>2601.1532670097067</v>
      </c>
      <c r="W23" s="64">
        <f t="shared" si="8"/>
        <v>2496.6450255114996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899999999999999" customHeight="1" x14ac:dyDescent="0.25">
      <c r="A24" s="164" t="s">
        <v>202</v>
      </c>
      <c r="B24" s="165"/>
      <c r="C24" s="124"/>
      <c r="D24" s="58">
        <f>$I$16+DECAISSEMENTS!$H$54</f>
        <v>0</v>
      </c>
      <c r="E24" s="58">
        <f>$I$16+DECAISSEMENTS!$H$54</f>
        <v>0</v>
      </c>
      <c r="F24" s="58">
        <f>$I$16+DECAISSEMENTS!$H$54</f>
        <v>0</v>
      </c>
      <c r="G24" s="58">
        <f>$I$16+DECAISSEMENTS!$H$54</f>
        <v>0</v>
      </c>
      <c r="H24" s="58">
        <f>$I$16+DECAISSEMENTS!$H$54</f>
        <v>0</v>
      </c>
      <c r="I24" s="58">
        <f>$I$16+DECAISSEMENTS!$H$54</f>
        <v>0</v>
      </c>
      <c r="J24" s="58">
        <f>$I$16+DECAISSEMENTS!$H$54</f>
        <v>0</v>
      </c>
      <c r="K24" s="58">
        <f>$I$16+DECAISSEMENTS!$H$54</f>
        <v>0</v>
      </c>
      <c r="L24" s="58">
        <f>$I$16+DECAISSEMENTS!$H$54</f>
        <v>0</v>
      </c>
      <c r="M24" s="58">
        <f>$I$16+DECAISSEMENTS!$H$54</f>
        <v>0</v>
      </c>
      <c r="N24" s="58">
        <f>$I$16+DECAISSEMENTS!$H$54</f>
        <v>0</v>
      </c>
      <c r="O24" s="58">
        <f>$I$16+DECAISSEMENTS!$H$54</f>
        <v>0</v>
      </c>
      <c r="P24" s="58">
        <f>$I$16+DECAISSEMENTS!$H$54</f>
        <v>0</v>
      </c>
      <c r="Q24" s="58">
        <f>$I$16+DECAISSEMENTS!$H$54</f>
        <v>0</v>
      </c>
      <c r="R24" s="58">
        <f>$I$16+DECAISSEMENTS!$H$54</f>
        <v>0</v>
      </c>
      <c r="S24" s="58">
        <f>$I$16+DECAISSEMENTS!$H$54</f>
        <v>0</v>
      </c>
      <c r="T24" s="58">
        <f>$I$16+DECAISSEMENTS!$H$54</f>
        <v>0</v>
      </c>
      <c r="U24" s="58">
        <f>$I$16+DECAISSEMENTS!$H$54</f>
        <v>0</v>
      </c>
      <c r="V24" s="58">
        <f>$I$16+DECAISSEMENTS!$H$54</f>
        <v>0</v>
      </c>
      <c r="W24" s="58">
        <f>$I$16+DECAISSEMENTS!$H$54</f>
        <v>0</v>
      </c>
      <c r="AB24" s="109">
        <f t="shared" si="3"/>
        <v>630</v>
      </c>
      <c r="AF24" s="111">
        <f t="shared" si="5"/>
        <v>1.0000000000000002</v>
      </c>
    </row>
    <row r="25" spans="1:44" s="65" customFormat="1" ht="16.899999999999999" customHeight="1" x14ac:dyDescent="0.25">
      <c r="A25" s="166" t="s">
        <v>6</v>
      </c>
      <c r="B25" s="167"/>
      <c r="C25" s="126"/>
      <c r="D25" s="64">
        <f>D23-D24</f>
        <v>4168.5327420000012</v>
      </c>
      <c r="E25" s="64">
        <f t="shared" ref="E25:I25" si="9">E23-E24</f>
        <v>4095.30163418145</v>
      </c>
      <c r="F25" s="64">
        <f t="shared" si="9"/>
        <v>4020.6098192505947</v>
      </c>
      <c r="G25" s="64">
        <f t="shared" si="9"/>
        <v>3944.428082967313</v>
      </c>
      <c r="H25" s="64">
        <f t="shared" si="9"/>
        <v>3866.7266268066805</v>
      </c>
      <c r="I25" s="64">
        <f t="shared" si="9"/>
        <v>3787.4750562732825</v>
      </c>
      <c r="J25" s="64">
        <f t="shared" ref="J25" si="10">J23-J24</f>
        <v>3706.6423689817921</v>
      </c>
      <c r="K25" s="64">
        <f t="shared" ref="K25" si="11">K23-K24</f>
        <v>3624.1969424991839</v>
      </c>
      <c r="L25" s="64">
        <f t="shared" ref="L25" si="12">L23-L24</f>
        <v>3540.1065219437696</v>
      </c>
      <c r="M25" s="64">
        <f t="shared" ref="M25" si="13">M23-M24</f>
        <v>3454.3382073362327</v>
      </c>
      <c r="N25" s="64">
        <f t="shared" ref="N25" si="14">N23-N24</f>
        <v>3366.8584406976697</v>
      </c>
      <c r="O25" s="64">
        <f t="shared" ref="O25" si="15">O23-O24</f>
        <v>3277.6329928896075</v>
      </c>
      <c r="P25" s="64">
        <f t="shared" ref="P25" si="16">P23-P24</f>
        <v>3186.6269501907964</v>
      </c>
      <c r="Q25" s="64">
        <f t="shared" ref="Q25" si="17">Q23-Q24</f>
        <v>3093.8047006055758</v>
      </c>
      <c r="R25" s="64">
        <f t="shared" ref="R25" si="18">R23-R24</f>
        <v>2999.1299198983634</v>
      </c>
      <c r="S25" s="64">
        <f t="shared" ref="S25" si="19">S23-S24</f>
        <v>2902.5655573488766</v>
      </c>
      <c r="T25" s="64">
        <f t="shared" ref="T25" si="20">T23-T24</f>
        <v>2804.0738212224214</v>
      </c>
      <c r="U25" s="64">
        <f t="shared" ref="U25" si="21">U23-U24</f>
        <v>2703.6161639496213</v>
      </c>
      <c r="V25" s="64">
        <f t="shared" ref="V25" si="22">V23-V24</f>
        <v>2601.1532670097067</v>
      </c>
      <c r="W25" s="64">
        <f t="shared" ref="W25" si="23">W23-W24</f>
        <v>2496.6450255114996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899999999999999" customHeight="1" x14ac:dyDescent="0.25">
      <c r="A26" s="164" t="s">
        <v>7</v>
      </c>
      <c r="B26" s="165"/>
      <c r="C26" s="124"/>
      <c r="D26" s="58">
        <f>($C$11-$M$14)/20</f>
        <v>3000</v>
      </c>
      <c r="E26" s="58">
        <f t="shared" ref="E26:W26" si="24">($C$11-$M$14)/20</f>
        <v>3000</v>
      </c>
      <c r="F26" s="58">
        <f t="shared" si="24"/>
        <v>3000</v>
      </c>
      <c r="G26" s="58">
        <f t="shared" si="24"/>
        <v>3000</v>
      </c>
      <c r="H26" s="58">
        <f t="shared" si="24"/>
        <v>3000</v>
      </c>
      <c r="I26" s="58">
        <f t="shared" si="24"/>
        <v>3000</v>
      </c>
      <c r="J26" s="58">
        <f t="shared" si="24"/>
        <v>3000</v>
      </c>
      <c r="K26" s="58">
        <f t="shared" si="24"/>
        <v>3000</v>
      </c>
      <c r="L26" s="58">
        <f t="shared" si="24"/>
        <v>3000</v>
      </c>
      <c r="M26" s="58">
        <f t="shared" si="24"/>
        <v>3000</v>
      </c>
      <c r="N26" s="58">
        <f t="shared" si="24"/>
        <v>3000</v>
      </c>
      <c r="O26" s="58">
        <f t="shared" si="24"/>
        <v>3000</v>
      </c>
      <c r="P26" s="58">
        <f t="shared" si="24"/>
        <v>3000</v>
      </c>
      <c r="Q26" s="58">
        <f t="shared" si="24"/>
        <v>3000</v>
      </c>
      <c r="R26" s="58">
        <f t="shared" si="24"/>
        <v>3000</v>
      </c>
      <c r="S26" s="58">
        <f t="shared" si="24"/>
        <v>3000</v>
      </c>
      <c r="T26" s="58">
        <f t="shared" si="24"/>
        <v>3000</v>
      </c>
      <c r="U26" s="58">
        <f t="shared" si="24"/>
        <v>3000</v>
      </c>
      <c r="V26" s="58">
        <f t="shared" si="24"/>
        <v>3000</v>
      </c>
      <c r="W26" s="58">
        <f t="shared" si="24"/>
        <v>3000</v>
      </c>
      <c r="AB26" s="109">
        <f t="shared" si="3"/>
        <v>650</v>
      </c>
      <c r="AF26" s="111"/>
    </row>
    <row r="27" spans="1:44" ht="15" x14ac:dyDescent="0.25">
      <c r="A27" s="165" t="s">
        <v>8</v>
      </c>
      <c r="B27" s="177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899999999999999" customHeight="1" x14ac:dyDescent="0.25">
      <c r="A28" s="166" t="s">
        <v>9</v>
      </c>
      <c r="B28" s="167"/>
      <c r="C28" s="126"/>
      <c r="D28" s="64">
        <f t="shared" ref="D28:W28" si="25">D25-D26-D27</f>
        <v>1168.5327420000012</v>
      </c>
      <c r="E28" s="64">
        <f t="shared" si="25"/>
        <v>1095.30163418145</v>
      </c>
      <c r="F28" s="64">
        <f t="shared" si="25"/>
        <v>1020.6098192505947</v>
      </c>
      <c r="G28" s="64">
        <f t="shared" si="25"/>
        <v>944.428082967313</v>
      </c>
      <c r="H28" s="64">
        <f t="shared" si="25"/>
        <v>866.72662680668054</v>
      </c>
      <c r="I28" s="64">
        <f t="shared" si="25"/>
        <v>787.47505627328246</v>
      </c>
      <c r="J28" s="64">
        <f t="shared" si="25"/>
        <v>706.64236898179206</v>
      </c>
      <c r="K28" s="64">
        <f t="shared" si="25"/>
        <v>624.19694249918393</v>
      </c>
      <c r="L28" s="64">
        <f t="shared" si="25"/>
        <v>540.10652194376962</v>
      </c>
      <c r="M28" s="64">
        <f t="shared" si="25"/>
        <v>454.3382073362327</v>
      </c>
      <c r="N28" s="64">
        <f t="shared" si="25"/>
        <v>366.85844069766972</v>
      </c>
      <c r="O28" s="64">
        <f t="shared" si="25"/>
        <v>277.63299288960752</v>
      </c>
      <c r="P28" s="64">
        <f t="shared" si="25"/>
        <v>186.62695019079638</v>
      </c>
      <c r="Q28" s="64">
        <f t="shared" si="25"/>
        <v>93.804700605575817</v>
      </c>
      <c r="R28" s="64">
        <f t="shared" si="25"/>
        <v>-0.8700801016366313</v>
      </c>
      <c r="S28" s="64">
        <f t="shared" si="25"/>
        <v>-97.434442651123391</v>
      </c>
      <c r="T28" s="64">
        <f t="shared" si="25"/>
        <v>-195.92617877757857</v>
      </c>
      <c r="U28" s="64">
        <f t="shared" si="25"/>
        <v>-296.3838360503787</v>
      </c>
      <c r="V28" s="64">
        <f t="shared" si="25"/>
        <v>-398.84673299029328</v>
      </c>
      <c r="W28" s="64">
        <f t="shared" si="25"/>
        <v>-503.35497448850037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899999999999999" customHeight="1" x14ac:dyDescent="0.25">
      <c r="A29" s="182" t="s">
        <v>13</v>
      </c>
      <c r="B29" s="183"/>
      <c r="C29" s="123"/>
      <c r="D29" s="58">
        <f t="shared" ref="D29:W29" si="26">IF(D20&lt;=$M$13,-IPMT($M$12,D20,$M$13,$M$11),0)</f>
        <v>812</v>
      </c>
      <c r="E29" s="58">
        <f t="shared" si="26"/>
        <v>737.84285937336301</v>
      </c>
      <c r="F29" s="58">
        <f t="shared" si="26"/>
        <v>662.20257593419331</v>
      </c>
      <c r="G29" s="58">
        <f t="shared" si="26"/>
        <v>585.04948682624035</v>
      </c>
      <c r="H29" s="58">
        <f t="shared" si="26"/>
        <v>506.35333593612819</v>
      </c>
      <c r="I29" s="58">
        <f t="shared" si="26"/>
        <v>426.08326202821371</v>
      </c>
      <c r="J29" s="58">
        <f t="shared" si="26"/>
        <v>344.20778664214106</v>
      </c>
      <c r="K29" s="58">
        <f t="shared" si="26"/>
        <v>260.69480174834695</v>
      </c>
      <c r="L29" s="58">
        <f t="shared" si="26"/>
        <v>175.51155715667693</v>
      </c>
      <c r="M29" s="58">
        <f t="shared" si="26"/>
        <v>88.624647673173499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5" x14ac:dyDescent="0.25">
      <c r="A30" s="164" t="s">
        <v>63</v>
      </c>
      <c r="B30" s="165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899999999999999" customHeight="1" x14ac:dyDescent="0.25">
      <c r="A31" s="166" t="s">
        <v>10</v>
      </c>
      <c r="B31" s="167"/>
      <c r="C31" s="126"/>
      <c r="D31" s="64">
        <f t="shared" ref="D31:W31" si="28">D28-D29-D30</f>
        <v>356.53274200000124</v>
      </c>
      <c r="E31" s="64">
        <f t="shared" si="28"/>
        <v>357.45877480808701</v>
      </c>
      <c r="F31" s="64">
        <f t="shared" si="28"/>
        <v>358.40724331640138</v>
      </c>
      <c r="G31" s="64">
        <f t="shared" si="28"/>
        <v>359.37859614107265</v>
      </c>
      <c r="H31" s="64">
        <f t="shared" si="28"/>
        <v>360.37329087055235</v>
      </c>
      <c r="I31" s="64">
        <f t="shared" si="28"/>
        <v>361.39179424506875</v>
      </c>
      <c r="J31" s="64">
        <f t="shared" si="28"/>
        <v>362.434582339651</v>
      </c>
      <c r="K31" s="64">
        <f t="shared" si="28"/>
        <v>363.50214075083699</v>
      </c>
      <c r="L31" s="64">
        <f t="shared" si="28"/>
        <v>364.59496478709269</v>
      </c>
      <c r="M31" s="64">
        <f t="shared" si="28"/>
        <v>365.71355966305919</v>
      </c>
      <c r="N31" s="64">
        <f t="shared" si="28"/>
        <v>366.85844069766972</v>
      </c>
      <c r="O31" s="64">
        <f t="shared" si="28"/>
        <v>277.63299288960752</v>
      </c>
      <c r="P31" s="64">
        <f t="shared" si="28"/>
        <v>186.62695019079638</v>
      </c>
      <c r="Q31" s="64">
        <f t="shared" si="28"/>
        <v>93.804700605575817</v>
      </c>
      <c r="R31" s="64">
        <f t="shared" si="28"/>
        <v>-0.8700801016366313</v>
      </c>
      <c r="S31" s="64">
        <f t="shared" si="28"/>
        <v>-97.434442651123391</v>
      </c>
      <c r="T31" s="64">
        <f t="shared" si="28"/>
        <v>-195.92617877757857</v>
      </c>
      <c r="U31" s="64">
        <f t="shared" si="28"/>
        <v>-296.3838360503787</v>
      </c>
      <c r="V31" s="64">
        <f t="shared" si="28"/>
        <v>-398.84673299029328</v>
      </c>
      <c r="W31" s="64">
        <f t="shared" si="28"/>
        <v>-503.35497448850037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5" x14ac:dyDescent="0.25">
      <c r="A32" s="164" t="s">
        <v>47</v>
      </c>
      <c r="B32" s="165"/>
      <c r="C32" s="124"/>
      <c r="D32" s="58">
        <f>IF(D31&lt;0,D31,0)</f>
        <v>0</v>
      </c>
      <c r="E32" s="58">
        <f>IF(D32+E31&lt;0,D32+E31,0)</f>
        <v>0</v>
      </c>
      <c r="F32" s="58">
        <f t="shared" ref="F32:H32" si="29">IF(E32+F31&lt;0,E32+F31,0)</f>
        <v>0</v>
      </c>
      <c r="G32" s="58">
        <f t="shared" si="29"/>
        <v>0</v>
      </c>
      <c r="H32" s="58">
        <f t="shared" si="29"/>
        <v>0</v>
      </c>
      <c r="I32" s="58">
        <f t="shared" ref="I32" si="30">IF(H32+I31&lt;0,H32+I31,0)</f>
        <v>0</v>
      </c>
      <c r="J32" s="58">
        <f t="shared" ref="J32:K32" si="31">IF(I32+J31&lt;0,I32+J31,0)</f>
        <v>0</v>
      </c>
      <c r="K32" s="58">
        <f t="shared" si="31"/>
        <v>0</v>
      </c>
      <c r="L32" s="58">
        <f t="shared" ref="L32" si="32">IF(K32+L31&lt;0,K32+L31,0)</f>
        <v>0</v>
      </c>
      <c r="M32" s="58">
        <f t="shared" ref="M32:N32" si="33">IF(L32+M31&lt;0,L32+M31,0)</f>
        <v>0</v>
      </c>
      <c r="N32" s="58">
        <f t="shared" si="33"/>
        <v>0</v>
      </c>
      <c r="O32" s="58">
        <f t="shared" ref="O32" si="34">IF(N32+O31&lt;0,N32+O31,0)</f>
        <v>0</v>
      </c>
      <c r="P32" s="58">
        <f t="shared" ref="P32:Q32" si="35">IF(O32+P31&lt;0,O32+P31,0)</f>
        <v>0</v>
      </c>
      <c r="Q32" s="58">
        <f t="shared" si="35"/>
        <v>0</v>
      </c>
      <c r="R32" s="58">
        <f t="shared" ref="R32" si="36">IF(Q32+R31&lt;0,Q32+R31,0)</f>
        <v>-0.8700801016366313</v>
      </c>
      <c r="S32" s="58">
        <f t="shared" ref="S32:T32" si="37">IF(R32+S31&lt;0,R32+S31,0)</f>
        <v>-98.304522752760022</v>
      </c>
      <c r="T32" s="58">
        <f t="shared" si="37"/>
        <v>-294.23070153033859</v>
      </c>
      <c r="U32" s="58">
        <f t="shared" ref="U32" si="38">IF(T32+U31&lt;0,T32+U31,0)</f>
        <v>-590.6145375807173</v>
      </c>
      <c r="V32" s="58">
        <f t="shared" ref="V32:W32" si="39">IF(U32+V31&lt;0,U32+V31,0)</f>
        <v>-989.46127057101057</v>
      </c>
      <c r="W32" s="58">
        <f t="shared" si="39"/>
        <v>-1492.8162450595109</v>
      </c>
      <c r="AB32" s="109">
        <f t="shared" si="3"/>
        <v>710</v>
      </c>
      <c r="AF32" s="111"/>
    </row>
    <row r="33" spans="1:35" ht="15" x14ac:dyDescent="0.25">
      <c r="A33" s="164" t="s">
        <v>80</v>
      </c>
      <c r="B33" s="165"/>
      <c r="C33" s="124"/>
      <c r="D33" s="58">
        <f>IF(D31&lt;0,0,IF(D31&lt;38120,IF(B4="SAS",0.15*D31,0.15*D31*(1-I11)),IF(B4="SAS",0.28*D31,0.28*D31*(1-I11))))</f>
        <v>22.728962302500079</v>
      </c>
      <c r="E33" s="58">
        <f>IF((E31+D32)&lt;0,0,IF(E31&lt;38120,IF($B$4="SAS",0.15*(E31+D32),0.15*(E31+D32)*(1-$I$11)),IF($B$4="SAS",0.28*(E31+D32),0.28*(1-$I$11)*(E31+D32))))</f>
        <v>22.787996894015549</v>
      </c>
      <c r="F33" s="58">
        <f>IF((F31+E32)&lt;0,0,IF(F31&lt;38120,IF($B$4="SAS",0.15*(F31+E32),0.15*(F31+E32)*(1-$I$11)),IF($B$4="SAS",0.28*(F31+E32),0.28*(1-$I$11)*(F31+E32))))</f>
        <v>22.848461761420591</v>
      </c>
      <c r="G33" s="58">
        <f>IF((G31+F32)&lt;0,0,IF(G31&lt;38120,IF($B$4="SAS",0.15*(G31+F32),0.15*(G31+F32)*(1-$I$12)),IF($B$4="SAS",0.28*(G31+F32),0.28*(1-$I$12)*(G31+F32))))</f>
        <v>22.910385503993382</v>
      </c>
      <c r="H33" s="58">
        <f t="shared" ref="H33:W33" si="40">IF((H31+G32)&lt;0,0,IF(H31&lt;38120,IF($B$4="SAS",0.15*(H31+G32),0.15*(H31+G32)*(1-$I$12)),IF($B$4="SAS",0.28*(H31+G32),0.28*(1-$I$12)*(H31+G32))))</f>
        <v>22.973797292997716</v>
      </c>
      <c r="I33" s="58">
        <f t="shared" si="40"/>
        <v>23.038726883123132</v>
      </c>
      <c r="J33" s="58">
        <f t="shared" si="40"/>
        <v>23.105204624152755</v>
      </c>
      <c r="K33" s="58">
        <f t="shared" si="40"/>
        <v>23.17326147286586</v>
      </c>
      <c r="L33" s="58">
        <f t="shared" si="40"/>
        <v>23.24292900517716</v>
      </c>
      <c r="M33" s="58">
        <f t="shared" si="40"/>
        <v>23.314239428520025</v>
      </c>
      <c r="N33" s="58">
        <f t="shared" si="40"/>
        <v>23.387225594476448</v>
      </c>
      <c r="O33" s="58">
        <f t="shared" si="40"/>
        <v>17.699103296712483</v>
      </c>
      <c r="P33" s="58">
        <f t="shared" si="40"/>
        <v>11.897468074663269</v>
      </c>
      <c r="Q33" s="58">
        <f t="shared" si="40"/>
        <v>5.9800496636054588</v>
      </c>
      <c r="R33" s="58">
        <f t="shared" si="40"/>
        <v>0</v>
      </c>
      <c r="S33" s="58">
        <f t="shared" si="40"/>
        <v>0</v>
      </c>
      <c r="T33" s="58">
        <f t="shared" si="40"/>
        <v>0</v>
      </c>
      <c r="U33" s="58">
        <f t="shared" si="40"/>
        <v>0</v>
      </c>
      <c r="V33" s="58">
        <f t="shared" si="40"/>
        <v>0</v>
      </c>
      <c r="W33" s="58">
        <f t="shared" si="40"/>
        <v>0</v>
      </c>
      <c r="AB33" s="109">
        <f t="shared" si="3"/>
        <v>720</v>
      </c>
      <c r="AF33" s="111"/>
    </row>
    <row r="34" spans="1:35" s="65" customFormat="1" ht="16.899999999999999" customHeight="1" x14ac:dyDescent="0.25">
      <c r="A34" s="166" t="s">
        <v>11</v>
      </c>
      <c r="B34" s="167"/>
      <c r="C34" s="126"/>
      <c r="D34" s="64">
        <f>D31-D33</f>
        <v>333.80377969750117</v>
      </c>
      <c r="E34" s="64">
        <f t="shared" ref="E34:W34" si="41">E31-E33</f>
        <v>334.67077791407144</v>
      </c>
      <c r="F34" s="64">
        <f t="shared" si="41"/>
        <v>335.55878155498078</v>
      </c>
      <c r="G34" s="64">
        <f t="shared" si="41"/>
        <v>336.46821063707927</v>
      </c>
      <c r="H34" s="64">
        <f t="shared" si="41"/>
        <v>337.39949357755461</v>
      </c>
      <c r="I34" s="64">
        <f t="shared" si="41"/>
        <v>338.35306736194559</v>
      </c>
      <c r="J34" s="64">
        <f t="shared" si="41"/>
        <v>339.32937771549825</v>
      </c>
      <c r="K34" s="64">
        <f t="shared" si="41"/>
        <v>340.32887927797111</v>
      </c>
      <c r="L34" s="64">
        <f t="shared" si="41"/>
        <v>341.35203578191556</v>
      </c>
      <c r="M34" s="64">
        <f t="shared" si="41"/>
        <v>342.39932023453918</v>
      </c>
      <c r="N34" s="64">
        <f t="shared" si="41"/>
        <v>343.47121510319329</v>
      </c>
      <c r="O34" s="64">
        <f t="shared" si="41"/>
        <v>259.93388959289501</v>
      </c>
      <c r="P34" s="64">
        <f t="shared" si="41"/>
        <v>174.72948211613311</v>
      </c>
      <c r="Q34" s="64">
        <f t="shared" si="41"/>
        <v>87.824650941970361</v>
      </c>
      <c r="R34" s="64">
        <f t="shared" si="41"/>
        <v>-0.8700801016366313</v>
      </c>
      <c r="S34" s="64">
        <f t="shared" si="41"/>
        <v>-97.434442651123391</v>
      </c>
      <c r="T34" s="64">
        <f t="shared" si="41"/>
        <v>-195.92617877757857</v>
      </c>
      <c r="U34" s="64">
        <f t="shared" si="41"/>
        <v>-296.3838360503787</v>
      </c>
      <c r="V34" s="64">
        <f t="shared" si="41"/>
        <v>-398.84673299029328</v>
      </c>
      <c r="W34" s="64">
        <f t="shared" si="41"/>
        <v>-503.35497448850037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899999999999999" customHeight="1" x14ac:dyDescent="0.25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899999999999999" customHeight="1" x14ac:dyDescent="0.25">
      <c r="A36" s="164" t="s">
        <v>32</v>
      </c>
      <c r="B36" s="165"/>
      <c r="C36" s="124"/>
      <c r="D36" s="58">
        <f t="shared" ref="D36:W36" si="42">D34+D27+D26</f>
        <v>3333.8037796975013</v>
      </c>
      <c r="E36" s="58">
        <f t="shared" si="42"/>
        <v>3334.6707779140716</v>
      </c>
      <c r="F36" s="58">
        <f t="shared" si="42"/>
        <v>3335.5587815549807</v>
      </c>
      <c r="G36" s="58">
        <f t="shared" si="42"/>
        <v>3336.4682106370792</v>
      </c>
      <c r="H36" s="58">
        <f t="shared" si="42"/>
        <v>3337.3994935775545</v>
      </c>
      <c r="I36" s="58">
        <f t="shared" si="42"/>
        <v>3338.3530673619457</v>
      </c>
      <c r="J36" s="58">
        <f t="shared" si="42"/>
        <v>3339.3293777154981</v>
      </c>
      <c r="K36" s="58">
        <f t="shared" si="42"/>
        <v>3340.3288792779713</v>
      </c>
      <c r="L36" s="58">
        <f t="shared" si="42"/>
        <v>3341.3520357819157</v>
      </c>
      <c r="M36" s="58">
        <f t="shared" si="42"/>
        <v>3342.3993202345391</v>
      </c>
      <c r="N36" s="58">
        <f t="shared" si="42"/>
        <v>3343.4712151031931</v>
      </c>
      <c r="O36" s="58">
        <f t="shared" si="42"/>
        <v>3259.933889592895</v>
      </c>
      <c r="P36" s="58">
        <f t="shared" si="42"/>
        <v>3174.7294821161331</v>
      </c>
      <c r="Q36" s="58">
        <f t="shared" si="42"/>
        <v>3087.8246509419705</v>
      </c>
      <c r="R36" s="58">
        <f t="shared" si="42"/>
        <v>2999.1299198983634</v>
      </c>
      <c r="S36" s="58">
        <f t="shared" si="42"/>
        <v>2902.5655573488766</v>
      </c>
      <c r="T36" s="58">
        <f t="shared" si="42"/>
        <v>2804.0738212224214</v>
      </c>
      <c r="U36" s="58">
        <f t="shared" si="42"/>
        <v>2703.6161639496213</v>
      </c>
      <c r="V36" s="58">
        <f t="shared" si="42"/>
        <v>2601.1532670097067</v>
      </c>
      <c r="W36" s="58">
        <f t="shared" si="42"/>
        <v>2496.6450255114996</v>
      </c>
      <c r="AB36" s="109">
        <f t="shared" si="3"/>
        <v>750</v>
      </c>
      <c r="AF36" s="111"/>
    </row>
    <row r="37" spans="1:35" ht="15" x14ac:dyDescent="0.25">
      <c r="A37" s="165" t="s">
        <v>21</v>
      </c>
      <c r="B37" s="177"/>
      <c r="C37" s="130">
        <f>-C11+M14</f>
        <v>-60000</v>
      </c>
      <c r="D37" s="58">
        <f>D36+D30+D29</f>
        <v>4145.8037796975013</v>
      </c>
      <c r="E37" s="58">
        <f>E36+E30+E29</f>
        <v>4072.5136372874344</v>
      </c>
      <c r="F37" s="58">
        <f t="shared" ref="F37:W37" si="43">F36+F30+F29</f>
        <v>3997.7613574891739</v>
      </c>
      <c r="G37" s="58">
        <f t="shared" si="43"/>
        <v>3921.5176974633196</v>
      </c>
      <c r="H37" s="58">
        <f t="shared" si="43"/>
        <v>3843.7528295136826</v>
      </c>
      <c r="I37" s="58">
        <f t="shared" si="43"/>
        <v>3764.4363293901592</v>
      </c>
      <c r="J37" s="58">
        <f t="shared" si="43"/>
        <v>3683.5371643576391</v>
      </c>
      <c r="K37" s="58">
        <f t="shared" si="43"/>
        <v>3601.0236810263182</v>
      </c>
      <c r="L37" s="58">
        <f t="shared" si="43"/>
        <v>3516.8635929385928</v>
      </c>
      <c r="M37" s="58">
        <f t="shared" si="43"/>
        <v>3431.0239679077126</v>
      </c>
      <c r="N37" s="58">
        <f t="shared" si="43"/>
        <v>3343.4712151031931</v>
      </c>
      <c r="O37" s="58">
        <f t="shared" si="43"/>
        <v>3259.933889592895</v>
      </c>
      <c r="P37" s="58">
        <f t="shared" si="43"/>
        <v>3174.7294821161331</v>
      </c>
      <c r="Q37" s="58">
        <f t="shared" si="43"/>
        <v>3087.8246509419705</v>
      </c>
      <c r="R37" s="58">
        <f t="shared" si="43"/>
        <v>2999.1299198983634</v>
      </c>
      <c r="S37" s="58">
        <f t="shared" si="43"/>
        <v>2902.5655573488766</v>
      </c>
      <c r="T37" s="58">
        <f t="shared" si="43"/>
        <v>2804.0738212224214</v>
      </c>
      <c r="U37" s="58">
        <f t="shared" si="43"/>
        <v>2703.6161639496213</v>
      </c>
      <c r="V37" s="58">
        <f t="shared" si="43"/>
        <v>2601.1532670097067</v>
      </c>
      <c r="W37" s="58">
        <f t="shared" si="43"/>
        <v>2496.6450255114996</v>
      </c>
      <c r="AB37" s="109">
        <f t="shared" si="3"/>
        <v>760</v>
      </c>
      <c r="AF37" s="111"/>
    </row>
    <row r="38" spans="1:35" ht="15" x14ac:dyDescent="0.25">
      <c r="A38" s="178" t="s">
        <v>144</v>
      </c>
      <c r="B38" s="178"/>
      <c r="C38" s="132">
        <f>-M8-Q8</f>
        <v>-20000</v>
      </c>
      <c r="D38" s="58">
        <f>D36</f>
        <v>3333.8037796975013</v>
      </c>
      <c r="E38" s="58">
        <f t="shared" ref="E38:W38" si="44">E36</f>
        <v>3334.6707779140716</v>
      </c>
      <c r="F38" s="58">
        <f t="shared" si="44"/>
        <v>3335.5587815549807</v>
      </c>
      <c r="G38" s="58">
        <f t="shared" si="44"/>
        <v>3336.4682106370792</v>
      </c>
      <c r="H38" s="58">
        <f t="shared" si="44"/>
        <v>3337.3994935775545</v>
      </c>
      <c r="I38" s="58">
        <f t="shared" si="44"/>
        <v>3338.3530673619457</v>
      </c>
      <c r="J38" s="58">
        <f t="shared" si="44"/>
        <v>3339.3293777154981</v>
      </c>
      <c r="K38" s="58">
        <f t="shared" si="44"/>
        <v>3340.3288792779713</v>
      </c>
      <c r="L38" s="58">
        <f t="shared" si="44"/>
        <v>3341.3520357819157</v>
      </c>
      <c r="M38" s="58">
        <f t="shared" si="44"/>
        <v>3342.3993202345391</v>
      </c>
      <c r="N38" s="58">
        <f t="shared" si="44"/>
        <v>3343.4712151031931</v>
      </c>
      <c r="O38" s="58">
        <f t="shared" si="44"/>
        <v>3259.933889592895</v>
      </c>
      <c r="P38" s="58">
        <f t="shared" si="44"/>
        <v>3174.7294821161331</v>
      </c>
      <c r="Q38" s="58">
        <f t="shared" si="44"/>
        <v>3087.8246509419705</v>
      </c>
      <c r="R38" s="58">
        <f t="shared" si="44"/>
        <v>2999.1299198983634</v>
      </c>
      <c r="S38" s="58">
        <f t="shared" si="44"/>
        <v>2902.5655573488766</v>
      </c>
      <c r="T38" s="58">
        <f t="shared" si="44"/>
        <v>2804.0738212224214</v>
      </c>
      <c r="U38" s="58">
        <f t="shared" si="44"/>
        <v>2703.6161639496213</v>
      </c>
      <c r="V38" s="58">
        <f t="shared" si="44"/>
        <v>2601.1532670097067</v>
      </c>
      <c r="W38" s="58">
        <f t="shared" si="44"/>
        <v>2496.6450255114996</v>
      </c>
      <c r="AB38" s="109">
        <f t="shared" si="3"/>
        <v>770</v>
      </c>
      <c r="AF38" s="111"/>
    </row>
    <row r="39" spans="1:35" ht="16.899999999999999" customHeight="1" x14ac:dyDescent="0.25">
      <c r="A39" s="164" t="s">
        <v>15</v>
      </c>
      <c r="B39" s="165"/>
      <c r="C39" s="124"/>
      <c r="D39" s="58">
        <f t="shared" ref="D39:W39" si="45">D36*(1+taux_actu)^-(D20-1)</f>
        <v>3333.8037796975013</v>
      </c>
      <c r="E39" s="58">
        <f t="shared" si="45"/>
        <v>3295.2566670228539</v>
      </c>
      <c r="F39" s="58">
        <f t="shared" si="45"/>
        <v>3257.1755470498247</v>
      </c>
      <c r="G39" s="58">
        <f t="shared" si="45"/>
        <v>3219.5549520909931</v>
      </c>
      <c r="H39" s="58">
        <f t="shared" si="45"/>
        <v>3182.389479904974</v>
      </c>
      <c r="I39" s="58">
        <f t="shared" si="45"/>
        <v>3145.67379292346</v>
      </c>
      <c r="J39" s="58">
        <f t="shared" si="45"/>
        <v>3109.4026174874557</v>
      </c>
      <c r="K39" s="58">
        <f t="shared" si="45"/>
        <v>3073.5707430926345</v>
      </c>
      <c r="L39" s="58">
        <f t="shared" si="45"/>
        <v>3038.1730216436736</v>
      </c>
      <c r="M39" s="58">
        <f t="shared" si="45"/>
        <v>3003.2043667174835</v>
      </c>
      <c r="N39" s="58">
        <f t="shared" si="45"/>
        <v>2968.6597528352218</v>
      </c>
      <c r="O39" s="58">
        <f t="shared" si="45"/>
        <v>2860.2758051230553</v>
      </c>
      <c r="P39" s="58">
        <f t="shared" si="45"/>
        <v>2752.5938063932135</v>
      </c>
      <c r="Q39" s="58">
        <f t="shared" si="45"/>
        <v>2645.6008219411719</v>
      </c>
      <c r="R39" s="58">
        <f t="shared" si="45"/>
        <v>2539.237071456917</v>
      </c>
      <c r="S39" s="58">
        <f t="shared" si="45"/>
        <v>2428.4339264827477</v>
      </c>
      <c r="T39" s="58">
        <f t="shared" si="45"/>
        <v>2318.3018433437369</v>
      </c>
      <c r="U39" s="58">
        <f t="shared" si="45"/>
        <v>2208.8277791912428</v>
      </c>
      <c r="V39" s="58">
        <f t="shared" si="45"/>
        <v>2099.9988051860737</v>
      </c>
      <c r="W39" s="58">
        <f t="shared" si="45"/>
        <v>1991.8021048266194</v>
      </c>
      <c r="AB39" s="109">
        <f t="shared" si="3"/>
        <v>780</v>
      </c>
      <c r="AF39" s="111"/>
    </row>
    <row r="40" spans="1:35" s="65" customFormat="1" ht="16.899999999999999" customHeight="1" x14ac:dyDescent="0.25">
      <c r="A40" s="166" t="s">
        <v>16</v>
      </c>
      <c r="B40" s="167"/>
      <c r="C40" s="133">
        <f>-C11+M14</f>
        <v>-60000</v>
      </c>
      <c r="D40" s="64">
        <f>D39+C40</f>
        <v>-56666.196220302496</v>
      </c>
      <c r="E40" s="64">
        <f>D40+E39</f>
        <v>-53370.939553279641</v>
      </c>
      <c r="F40" s="64">
        <f t="shared" ref="F40:V40" si="46">E40+F39</f>
        <v>-50113.764006229816</v>
      </c>
      <c r="G40" s="64">
        <f t="shared" si="46"/>
        <v>-46894.209054138824</v>
      </c>
      <c r="H40" s="64">
        <f t="shared" si="46"/>
        <v>-43711.81957423385</v>
      </c>
      <c r="I40" s="64">
        <f t="shared" si="46"/>
        <v>-40566.145781310392</v>
      </c>
      <c r="J40" s="64">
        <f t="shared" si="46"/>
        <v>-37456.743163822939</v>
      </c>
      <c r="K40" s="64">
        <f t="shared" si="46"/>
        <v>-34383.172420730305</v>
      </c>
      <c r="L40" s="64">
        <f t="shared" si="46"/>
        <v>-31344.999399086631</v>
      </c>
      <c r="M40" s="64">
        <f t="shared" si="46"/>
        <v>-28341.795032369148</v>
      </c>
      <c r="N40" s="64">
        <f t="shared" si="46"/>
        <v>-25373.135279533926</v>
      </c>
      <c r="O40" s="64">
        <f t="shared" si="46"/>
        <v>-22512.85947441087</v>
      </c>
      <c r="P40" s="64">
        <f t="shared" si="46"/>
        <v>-19760.265668017659</v>
      </c>
      <c r="Q40" s="64">
        <f t="shared" si="46"/>
        <v>-17114.664846076488</v>
      </c>
      <c r="R40" s="64">
        <f t="shared" si="46"/>
        <v>-14575.427774619571</v>
      </c>
      <c r="S40" s="64">
        <f t="shared" si="46"/>
        <v>-12146.993848136823</v>
      </c>
      <c r="T40" s="64">
        <f t="shared" si="46"/>
        <v>-9828.6920047930853</v>
      </c>
      <c r="U40" s="64">
        <f t="shared" si="46"/>
        <v>-7619.8642256018429</v>
      </c>
      <c r="V40" s="64">
        <f t="shared" si="46"/>
        <v>-5519.8654204157692</v>
      </c>
      <c r="W40" s="64">
        <f>V40+W39</f>
        <v>-3528.0633155891501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899999999999999" customHeight="1" x14ac:dyDescent="0.25">
      <c r="AB41" s="109">
        <f t="shared" si="3"/>
        <v>800</v>
      </c>
    </row>
    <row r="42" spans="1:35" ht="15" x14ac:dyDescent="0.25">
      <c r="A42" s="164" t="s">
        <v>33</v>
      </c>
      <c r="B42" s="165"/>
      <c r="C42" s="124"/>
      <c r="D42" s="58">
        <f t="shared" ref="D42:W42" si="47">IF(D20&lt;4,IF(D31&lt;0,0,$I$11*D31),$I$12*D31)</f>
        <v>205.00632665000069</v>
      </c>
      <c r="E42" s="58">
        <f t="shared" si="47"/>
        <v>205.53879551465002</v>
      </c>
      <c r="F42" s="58">
        <f t="shared" si="47"/>
        <v>206.08416490693077</v>
      </c>
      <c r="G42" s="58">
        <f>IF(G20&lt;4,IF(G31&lt;0,0,$I$11*G31),$I$12*G31)</f>
        <v>206.64269278111675</v>
      </c>
      <c r="H42" s="58">
        <f>IF(H20&lt;4,IF(H31&lt;0,0,$I$11*H31),$I$12*H31)</f>
        <v>207.21464225056758</v>
      </c>
      <c r="I42" s="58">
        <f>IF(I20&lt;4,IF(I31&lt;0,0,$I$11*I31),$I$12*I31)</f>
        <v>207.80028169091452</v>
      </c>
      <c r="J42" s="58">
        <f t="shared" si="47"/>
        <v>208.39988484529931</v>
      </c>
      <c r="K42" s="58">
        <f t="shared" si="47"/>
        <v>209.01373093173126</v>
      </c>
      <c r="L42" s="58">
        <f t="shared" si="47"/>
        <v>209.64210475257829</v>
      </c>
      <c r="M42" s="58">
        <f t="shared" si="47"/>
        <v>210.28529680625903</v>
      </c>
      <c r="N42" s="58">
        <f t="shared" si="47"/>
        <v>210.94360340116006</v>
      </c>
      <c r="O42" s="58">
        <f t="shared" si="47"/>
        <v>159.63897091152432</v>
      </c>
      <c r="P42" s="58">
        <f t="shared" si="47"/>
        <v>107.31049635970791</v>
      </c>
      <c r="Q42" s="58">
        <f t="shared" si="47"/>
        <v>53.937702848206094</v>
      </c>
      <c r="R42" s="58">
        <f t="shared" si="47"/>
        <v>-0.50029605844106295</v>
      </c>
      <c r="S42" s="58">
        <f t="shared" si="47"/>
        <v>-56.024804524395947</v>
      </c>
      <c r="T42" s="58">
        <f t="shared" si="47"/>
        <v>-112.65755279710767</v>
      </c>
      <c r="U42" s="58">
        <f t="shared" si="47"/>
        <v>-170.42070572896773</v>
      </c>
      <c r="V42" s="58">
        <f t="shared" si="47"/>
        <v>-229.33687146941861</v>
      </c>
      <c r="W42" s="58">
        <f t="shared" si="47"/>
        <v>-289.42911033088768</v>
      </c>
      <c r="AB42" s="109">
        <f t="shared" si="3"/>
        <v>810</v>
      </c>
      <c r="AF42" s="111"/>
    </row>
    <row r="43" spans="1:35" ht="15" x14ac:dyDescent="0.25">
      <c r="A43" s="164" t="s">
        <v>48</v>
      </c>
      <c r="B43" s="165"/>
      <c r="C43" s="124"/>
      <c r="D43" s="58">
        <f>IF(D20&lt;0,0,D34-D42)</f>
        <v>128.79745304750048</v>
      </c>
      <c r="E43" s="58">
        <f t="shared" ref="E43:F43" si="48">IF(E20&lt;0,0,E34-E42)</f>
        <v>129.13198239942142</v>
      </c>
      <c r="F43" s="58">
        <f t="shared" si="48"/>
        <v>129.47461664805002</v>
      </c>
      <c r="G43" s="58">
        <f t="shared" ref="G43:W43" si="49">IF(G20&lt;4,0,G34-G42)</f>
        <v>129.82551785596252</v>
      </c>
      <c r="H43" s="58">
        <f t="shared" si="49"/>
        <v>130.18485132698703</v>
      </c>
      <c r="I43" s="58">
        <f t="shared" si="49"/>
        <v>130.55278567103107</v>
      </c>
      <c r="J43" s="58">
        <f t="shared" si="49"/>
        <v>130.92949287019894</v>
      </c>
      <c r="K43" s="58">
        <f t="shared" si="49"/>
        <v>131.31514834623985</v>
      </c>
      <c r="L43" s="58">
        <f t="shared" si="49"/>
        <v>131.70993102933727</v>
      </c>
      <c r="M43" s="58">
        <f t="shared" si="49"/>
        <v>132.11402342828015</v>
      </c>
      <c r="N43" s="58">
        <f t="shared" si="49"/>
        <v>132.52761170203323</v>
      </c>
      <c r="O43" s="58">
        <f t="shared" si="49"/>
        <v>100.29491868137069</v>
      </c>
      <c r="P43" s="58">
        <f t="shared" si="49"/>
        <v>67.418985756425201</v>
      </c>
      <c r="Q43" s="58">
        <f t="shared" si="49"/>
        <v>33.886948093764268</v>
      </c>
      <c r="R43" s="58">
        <f t="shared" si="49"/>
        <v>-0.36978404319556835</v>
      </c>
      <c r="S43" s="58">
        <f t="shared" si="49"/>
        <v>-41.409638126727444</v>
      </c>
      <c r="T43" s="58">
        <f t="shared" si="49"/>
        <v>-83.268625980470901</v>
      </c>
      <c r="U43" s="58">
        <f t="shared" si="49"/>
        <v>-125.96313032141097</v>
      </c>
      <c r="V43" s="58">
        <f t="shared" si="49"/>
        <v>-169.50986152087467</v>
      </c>
      <c r="W43" s="58">
        <f t="shared" si="49"/>
        <v>-213.92586415761269</v>
      </c>
      <c r="AB43" s="109">
        <f t="shared" si="3"/>
        <v>820</v>
      </c>
      <c r="AF43" s="111"/>
    </row>
    <row r="44" spans="1:35" ht="15" x14ac:dyDescent="0.25">
      <c r="A44" s="164" t="s">
        <v>49</v>
      </c>
      <c r="B44" s="165"/>
      <c r="C44" s="124"/>
      <c r="D44" s="58">
        <f>D43*(100%-$I$14)</f>
        <v>106.6442911233304</v>
      </c>
      <c r="E44" s="58">
        <f t="shared" ref="E44:W44" si="50">E43*(100%-$I$14)</f>
        <v>106.92128142672094</v>
      </c>
      <c r="F44" s="58">
        <f t="shared" si="50"/>
        <v>107.20498258458542</v>
      </c>
      <c r="G44" s="58">
        <f t="shared" si="50"/>
        <v>107.49552878473698</v>
      </c>
      <c r="H44" s="58">
        <f t="shared" si="50"/>
        <v>107.79305689874526</v>
      </c>
      <c r="I44" s="58">
        <f t="shared" si="50"/>
        <v>108.09770653561374</v>
      </c>
      <c r="J44" s="58">
        <f t="shared" si="50"/>
        <v>108.40962009652473</v>
      </c>
      <c r="K44" s="58">
        <f t="shared" si="50"/>
        <v>108.72894283068661</v>
      </c>
      <c r="L44" s="58">
        <f t="shared" si="50"/>
        <v>109.05582289229127</v>
      </c>
      <c r="M44" s="58">
        <f t="shared" si="50"/>
        <v>109.39041139861597</v>
      </c>
      <c r="N44" s="58">
        <f t="shared" si="50"/>
        <v>109.73286248928352</v>
      </c>
      <c r="O44" s="58">
        <f t="shared" si="50"/>
        <v>83.044192668174944</v>
      </c>
      <c r="P44" s="58">
        <f t="shared" si="50"/>
        <v>55.82292020632007</v>
      </c>
      <c r="Q44" s="58">
        <f t="shared" si="50"/>
        <v>28.058393021636817</v>
      </c>
      <c r="R44" s="58">
        <f t="shared" si="50"/>
        <v>-0.30618118776593062</v>
      </c>
      <c r="S44" s="58">
        <f t="shared" si="50"/>
        <v>-34.287180368930329</v>
      </c>
      <c r="T44" s="58">
        <f t="shared" si="50"/>
        <v>-68.946422311829906</v>
      </c>
      <c r="U44" s="58">
        <f t="shared" si="50"/>
        <v>-104.29747190612829</v>
      </c>
      <c r="V44" s="58">
        <f t="shared" si="50"/>
        <v>-140.35416533928424</v>
      </c>
      <c r="W44" s="58">
        <f t="shared" si="50"/>
        <v>-177.13061552250332</v>
      </c>
      <c r="AB44" s="109">
        <f t="shared" si="3"/>
        <v>830</v>
      </c>
      <c r="AF44" s="111"/>
    </row>
    <row r="45" spans="1:35" s="65" customFormat="1" ht="16.899999999999999" customHeight="1" x14ac:dyDescent="0.25">
      <c r="A45" s="166" t="s">
        <v>22</v>
      </c>
      <c r="B45" s="167"/>
      <c r="C45" s="126"/>
      <c r="D45" s="163">
        <f>(D44/$M$9)/$M$10</f>
        <v>4.4435121301387671E-3</v>
      </c>
      <c r="E45" s="163">
        <f t="shared" ref="E45:W45" si="51">(E44/$M$9)/$M$10</f>
        <v>4.455053392780039E-3</v>
      </c>
      <c r="F45" s="163">
        <f t="shared" si="51"/>
        <v>4.4668742743577258E-3</v>
      </c>
      <c r="G45" s="163">
        <f t="shared" si="51"/>
        <v>4.4789803660307079E-3</v>
      </c>
      <c r="H45" s="163">
        <f t="shared" si="51"/>
        <v>4.491377370781053E-3</v>
      </c>
      <c r="I45" s="163">
        <f t="shared" si="51"/>
        <v>4.5040711056505726E-3</v>
      </c>
      <c r="J45" s="163">
        <f t="shared" si="51"/>
        <v>4.5170675040218638E-3</v>
      </c>
      <c r="K45" s="163">
        <f t="shared" si="51"/>
        <v>4.5303726179452752E-3</v>
      </c>
      <c r="L45" s="163">
        <f t="shared" si="51"/>
        <v>4.5439926205121366E-3</v>
      </c>
      <c r="M45" s="163">
        <f t="shared" si="51"/>
        <v>4.5579338082756653E-3</v>
      </c>
      <c r="N45" s="163">
        <f t="shared" si="51"/>
        <v>4.5722026037201468E-3</v>
      </c>
      <c r="O45" s="163">
        <f t="shared" si="51"/>
        <v>3.4601746945072892E-3</v>
      </c>
      <c r="P45" s="163">
        <f t="shared" si="51"/>
        <v>2.3259550085966696E-3</v>
      </c>
      <c r="Q45" s="163">
        <f t="shared" si="51"/>
        <v>1.1690997092348673E-3</v>
      </c>
      <c r="R45" s="163">
        <f t="shared" si="51"/>
        <v>-1.2757549490247108E-5</v>
      </c>
      <c r="S45" s="163">
        <f t="shared" si="51"/>
        <v>-1.4286325153720972E-3</v>
      </c>
      <c r="T45" s="163">
        <f t="shared" si="51"/>
        <v>-2.8727675963262462E-3</v>
      </c>
      <c r="U45" s="163">
        <f t="shared" si="51"/>
        <v>-4.3457279960886792E-3</v>
      </c>
      <c r="V45" s="163">
        <f t="shared" si="51"/>
        <v>-5.8480902224701771E-3</v>
      </c>
      <c r="W45" s="163">
        <f t="shared" si="51"/>
        <v>-7.3804423134376388E-3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899999999999999" customHeight="1" x14ac:dyDescent="0.25">
      <c r="AB46" s="109">
        <f t="shared" si="3"/>
        <v>850</v>
      </c>
    </row>
    <row r="47" spans="1:35" ht="16.899999999999999" customHeight="1" x14ac:dyDescent="0.25">
      <c r="A47" s="175" t="s">
        <v>35</v>
      </c>
      <c r="B47" s="176"/>
      <c r="C47" s="127"/>
      <c r="D47" s="69">
        <f t="shared" ref="D47:W47" si="52">IF(D20&lt;=$M$13,D25/-PMT($M$12,$M$13,$M$11),"")</f>
        <v>0.92227092872707006</v>
      </c>
      <c r="E47" s="69">
        <f t="shared" si="52"/>
        <v>0.90606884372506447</v>
      </c>
      <c r="F47" s="69">
        <f t="shared" si="52"/>
        <v>0.88954358321060834</v>
      </c>
      <c r="G47" s="69">
        <f t="shared" si="52"/>
        <v>0.87268868365179786</v>
      </c>
      <c r="H47" s="69">
        <f t="shared" si="52"/>
        <v>0.85549755224609125</v>
      </c>
      <c r="I47" s="69">
        <f t="shared" si="52"/>
        <v>0.83796346433489788</v>
      </c>
      <c r="J47" s="69">
        <f t="shared" si="52"/>
        <v>0.82007956076645439</v>
      </c>
      <c r="K47" s="69">
        <f t="shared" si="52"/>
        <v>0.80183884520596371</v>
      </c>
      <c r="L47" s="69">
        <f t="shared" si="52"/>
        <v>0.78323418139193246</v>
      </c>
      <c r="M47" s="69">
        <f t="shared" si="52"/>
        <v>0.76425829033763859</v>
      </c>
      <c r="N47" s="69" t="str">
        <f t="shared" si="52"/>
        <v/>
      </c>
      <c r="O47" s="69" t="str">
        <f t="shared" si="52"/>
        <v/>
      </c>
      <c r="P47" s="69" t="str">
        <f t="shared" si="52"/>
        <v/>
      </c>
      <c r="Q47" s="69" t="str">
        <f t="shared" si="52"/>
        <v/>
      </c>
      <c r="R47" s="69" t="str">
        <f t="shared" si="52"/>
        <v/>
      </c>
      <c r="S47" s="69" t="str">
        <f t="shared" si="52"/>
        <v/>
      </c>
      <c r="T47" s="69" t="str">
        <f t="shared" si="52"/>
        <v/>
      </c>
      <c r="U47" s="69" t="str">
        <f t="shared" si="52"/>
        <v/>
      </c>
      <c r="V47" s="69" t="str">
        <f t="shared" si="52"/>
        <v/>
      </c>
      <c r="W47" s="69" t="str">
        <f t="shared" si="52"/>
        <v/>
      </c>
      <c r="X47" s="70"/>
      <c r="AB47" s="109">
        <f t="shared" si="3"/>
        <v>860</v>
      </c>
    </row>
    <row r="48" spans="1:35" ht="16.899999999999999" customHeight="1" x14ac:dyDescent="0.25">
      <c r="AB48" s="109">
        <f t="shared" ref="AB48:AB61" si="53">AB47+10</f>
        <v>870</v>
      </c>
    </row>
    <row r="49" spans="1:35" ht="16.899999999999999" customHeight="1" x14ac:dyDescent="0.25">
      <c r="A49" s="173" t="s">
        <v>17</v>
      </c>
      <c r="B49" s="173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AB49" s="109">
        <f t="shared" si="53"/>
        <v>880</v>
      </c>
    </row>
    <row r="50" spans="1:35" ht="16.899999999999999" customHeight="1" x14ac:dyDescent="0.25">
      <c r="AB50" s="109">
        <f t="shared" si="53"/>
        <v>890</v>
      </c>
    </row>
    <row r="51" spans="1:35" ht="16.899999999999999" customHeight="1" x14ac:dyDescent="0.25">
      <c r="A51" s="174" t="s">
        <v>18</v>
      </c>
      <c r="B51" s="174"/>
      <c r="C51" s="58">
        <f>W40</f>
        <v>-3528.0633155891501</v>
      </c>
      <c r="D51" s="87" t="str">
        <f>IF(C51&gt;0,"OK","PB")</f>
        <v>PB</v>
      </c>
      <c r="F51" s="71"/>
      <c r="AB51" s="109">
        <f t="shared" si="53"/>
        <v>900</v>
      </c>
    </row>
    <row r="52" spans="1:35" ht="16.899999999999999" customHeight="1" x14ac:dyDescent="0.25">
      <c r="A52" s="174" t="s">
        <v>40</v>
      </c>
      <c r="B52" s="174"/>
      <c r="C52" s="58">
        <f>SUM(D42:W42)</f>
        <v>1749.0893537414277</v>
      </c>
      <c r="AB52" s="109">
        <f t="shared" si="53"/>
        <v>910</v>
      </c>
    </row>
    <row r="53" spans="1:35" ht="15" x14ac:dyDescent="0.25">
      <c r="A53" s="174" t="s">
        <v>19</v>
      </c>
      <c r="B53" s="174"/>
      <c r="C53" s="72">
        <f>IRR(C37:W37)</f>
        <v>1.2303244421748127E-2</v>
      </c>
      <c r="D53" s="131" t="str">
        <f>IF(C53&gt;M12,"OK","PB")</f>
        <v>PB</v>
      </c>
      <c r="AB53" s="109">
        <f t="shared" si="53"/>
        <v>920</v>
      </c>
    </row>
    <row r="54" spans="1:35" ht="29.45" customHeight="1" x14ac:dyDescent="0.25">
      <c r="A54" s="174" t="s">
        <v>20</v>
      </c>
      <c r="B54" s="174"/>
      <c r="C54" s="73">
        <f>AVERAGE(D34:W34)/M8</f>
        <v>6.8820167911193449E-3</v>
      </c>
      <c r="AB54" s="109">
        <f t="shared" si="53"/>
        <v>930</v>
      </c>
    </row>
    <row r="55" spans="1:35" ht="26.45" customHeight="1" x14ac:dyDescent="0.25">
      <c r="A55" s="174" t="s">
        <v>41</v>
      </c>
      <c r="B55" s="174"/>
      <c r="C55" s="73">
        <f>AVERAGE(D45:W45)</f>
        <v>1.7314124506683855E-3</v>
      </c>
      <c r="AB55" s="109">
        <f t="shared" si="53"/>
        <v>940</v>
      </c>
    </row>
    <row r="56" spans="1:35" ht="16.899999999999999" customHeight="1" x14ac:dyDescent="0.25">
      <c r="AB56" s="109">
        <f t="shared" si="53"/>
        <v>950</v>
      </c>
    </row>
    <row r="57" spans="1:35" ht="16.899999999999999" customHeight="1" x14ac:dyDescent="0.25">
      <c r="A57" s="74" t="s">
        <v>100</v>
      </c>
      <c r="B57" s="88">
        <f>C11/(C9*1000)</f>
        <v>0.8571428571428571</v>
      </c>
      <c r="AB57" s="109">
        <f t="shared" si="53"/>
        <v>960</v>
      </c>
    </row>
    <row r="58" spans="1:35" ht="16.899999999999999" customHeight="1" x14ac:dyDescent="0.25">
      <c r="D58" s="75"/>
      <c r="AB58" s="109">
        <f t="shared" si="53"/>
        <v>970</v>
      </c>
    </row>
    <row r="59" spans="1:35" s="76" customFormat="1" ht="16.899999999999999" customHeight="1" x14ac:dyDescent="0.25">
      <c r="AA59" s="116"/>
      <c r="AB59" s="109">
        <f t="shared" si="53"/>
        <v>980</v>
      </c>
      <c r="AC59" s="116"/>
      <c r="AD59" s="116"/>
      <c r="AE59" s="116"/>
      <c r="AF59" s="116"/>
      <c r="AG59" s="116"/>
      <c r="AH59" s="116"/>
      <c r="AI59" s="116"/>
    </row>
    <row r="60" spans="1:35" ht="16.899999999999999" customHeight="1" x14ac:dyDescent="0.25">
      <c r="AB60" s="109">
        <f t="shared" si="53"/>
        <v>990</v>
      </c>
    </row>
    <row r="61" spans="1:35" ht="16.899999999999999" customHeight="1" x14ac:dyDescent="0.25">
      <c r="AB61" s="109">
        <f t="shared" si="53"/>
        <v>1000</v>
      </c>
    </row>
    <row r="62" spans="1:35" ht="16.899999999999999" customHeight="1" x14ac:dyDescent="0.25">
      <c r="AB62" s="39"/>
    </row>
  </sheetData>
  <mergeCells count="75"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N49:O49"/>
    <mergeCell ref="P49:Q49"/>
    <mergeCell ref="R49:S49"/>
    <mergeCell ref="T49:U49"/>
    <mergeCell ref="V49:W49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A26:B26"/>
    <mergeCell ref="A31:B31"/>
    <mergeCell ref="A24:B24"/>
    <mergeCell ref="A21:B21"/>
    <mergeCell ref="A22:B22"/>
    <mergeCell ref="A23:B23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="80" zoomScaleNormal="80" workbookViewId="0">
      <selection activeCell="H4" sqref="H4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85" t="s">
        <v>65</v>
      </c>
      <c r="B1" s="186"/>
      <c r="C1" s="186"/>
      <c r="D1" s="186"/>
      <c r="E1" s="186"/>
      <c r="F1" s="186"/>
      <c r="G1" s="186"/>
      <c r="H1" s="186"/>
      <c r="I1" s="100"/>
    </row>
    <row r="2" spans="1:27" x14ac:dyDescent="0.25">
      <c r="A2" s="118" t="s">
        <v>140</v>
      </c>
    </row>
    <row r="3" spans="1:27" s="98" customFormat="1" ht="33.75" x14ac:dyDescent="0.25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75" x14ac:dyDescent="0.25">
      <c r="A4" s="12" t="s">
        <v>136</v>
      </c>
      <c r="B4" s="31" t="s">
        <v>68</v>
      </c>
      <c r="C4" s="33">
        <v>340</v>
      </c>
      <c r="D4" s="195">
        <v>70</v>
      </c>
      <c r="E4" s="33">
        <v>83414</v>
      </c>
      <c r="F4" s="17">
        <f>E4/D4</f>
        <v>1191.6285714285714</v>
      </c>
      <c r="G4" s="34">
        <v>9.4700000000000006</v>
      </c>
      <c r="H4" s="27">
        <f>G4*E4/100</f>
        <v>7899.305800000001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75" x14ac:dyDescent="0.25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75" x14ac:dyDescent="0.25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7" t="s">
        <v>137</v>
      </c>
      <c r="K6" s="120"/>
      <c r="N6" s="144">
        <f t="shared" si="0"/>
        <v>1</v>
      </c>
    </row>
    <row r="7" spans="1:27" ht="15.75" x14ac:dyDescent="0.25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7"/>
      <c r="K7" s="120"/>
      <c r="N7" s="144">
        <f t="shared" si="0"/>
        <v>1</v>
      </c>
    </row>
    <row r="8" spans="1:27" ht="15.75" x14ac:dyDescent="0.25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75" x14ac:dyDescent="0.25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75" x14ac:dyDescent="0.25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8" t="s">
        <v>127</v>
      </c>
      <c r="K10" s="121"/>
      <c r="N10" s="144">
        <f t="shared" si="0"/>
        <v>1</v>
      </c>
    </row>
    <row r="11" spans="1:27" ht="15.75" x14ac:dyDescent="0.25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89"/>
      <c r="K11" s="121"/>
      <c r="N11" s="144">
        <f t="shared" si="0"/>
        <v>1</v>
      </c>
    </row>
    <row r="12" spans="1:27" ht="15.75" x14ac:dyDescent="0.25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75" x14ac:dyDescent="0.25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75" x14ac:dyDescent="0.25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75" x14ac:dyDescent="0.25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75" x14ac:dyDescent="0.25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75" x14ac:dyDescent="0.25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.75" x14ac:dyDescent="0.3">
      <c r="A24" s="136"/>
      <c r="B24" s="137"/>
      <c r="C24" s="134">
        <f>SUMPRODUCT(C4:C23,$N$4:$N$23)</f>
        <v>340</v>
      </c>
      <c r="D24" s="134">
        <f>SUMPRODUCT(D4:D23,$N$4:$N$23)</f>
        <v>70</v>
      </c>
      <c r="E24" s="134">
        <f>SUMPRODUCT(E4:E23,$N$4:$N$23)</f>
        <v>83414</v>
      </c>
      <c r="G24" s="135"/>
      <c r="H24" s="134">
        <f>SUMPRODUCT(H4:H23,$N$4:$N$23)</f>
        <v>7899.305800000001</v>
      </c>
      <c r="N24" s="98"/>
    </row>
    <row r="25" spans="1:27" customFormat="1" ht="6.75" customHeight="1" x14ac:dyDescent="0.25">
      <c r="F25" s="10"/>
      <c r="K25" s="12"/>
    </row>
    <row r="26" spans="1:27" x14ac:dyDescent="0.25">
      <c r="B26"/>
      <c r="N26" s="98"/>
    </row>
    <row r="27" spans="1:27" x14ac:dyDescent="0.25">
      <c r="B27"/>
      <c r="C27" s="2"/>
      <c r="D27" s="12"/>
      <c r="E27" s="12"/>
      <c r="F27" s="12"/>
      <c r="G27" s="12"/>
      <c r="H27" s="12"/>
      <c r="N27" s="98"/>
    </row>
    <row r="28" spans="1:27" x14ac:dyDescent="0.25">
      <c r="B28"/>
      <c r="D28" s="12"/>
      <c r="E28" s="12"/>
      <c r="F28" s="12"/>
      <c r="G28" s="12"/>
      <c r="H28" s="12"/>
      <c r="N28" s="98"/>
    </row>
    <row r="29" spans="1:27" x14ac:dyDescent="0.25">
      <c r="N29" s="98"/>
    </row>
    <row r="30" spans="1:27" x14ac:dyDescent="0.25">
      <c r="N30" s="98"/>
    </row>
    <row r="35" spans="1:11" x14ac:dyDescent="0.25">
      <c r="E35" s="12"/>
      <c r="F35" s="12"/>
    </row>
    <row r="37" spans="1:11" x14ac:dyDescent="0.25">
      <c r="A37" s="20"/>
      <c r="B37" s="21"/>
    </row>
    <row r="38" spans="1:11" s="22" customFormat="1" x14ac:dyDescent="0.25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abSelected="1" topLeftCell="A31" zoomScale="70" zoomScaleNormal="70" workbookViewId="0">
      <selection activeCell="C5" sqref="C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90" t="s">
        <v>98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P1" s="106"/>
    </row>
    <row r="3" spans="1:29" s="18" customFormat="1" ht="42.75" customHeight="1" x14ac:dyDescent="0.25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5">
        <v>60000</v>
      </c>
      <c r="D4" s="36"/>
      <c r="E4" s="33"/>
      <c r="F4" s="33"/>
      <c r="G4" s="33"/>
      <c r="H4" s="33"/>
      <c r="I4" s="33"/>
      <c r="J4" s="33"/>
      <c r="K4" s="33"/>
      <c r="L4" s="33"/>
      <c r="M4" s="28">
        <f>SUM(C4:L4)</f>
        <v>60000</v>
      </c>
      <c r="N4" s="26"/>
      <c r="O4" s="92" t="s">
        <v>97</v>
      </c>
      <c r="P4" s="89" t="s">
        <v>147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75" x14ac:dyDescent="0.25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5" customHeight="1" thickBot="1" x14ac:dyDescent="0.3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9.5" thickBot="1" x14ac:dyDescent="0.35">
      <c r="A24" s="191" t="s">
        <v>138</v>
      </c>
      <c r="B24" s="192"/>
      <c r="C24" s="140">
        <f>SUMPRODUCT(C4:C23,ENCAISSEMENTS!$N$4:$N$23)</f>
        <v>60000</v>
      </c>
      <c r="D24" s="140">
        <f>SUMPRODUCT(D4:D23,ENCAISSEMENTS!$N$4:$N$23)</f>
        <v>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0</v>
      </c>
      <c r="M24" s="141">
        <f>SUM(C24:L24)</f>
        <v>60000</v>
      </c>
    </row>
    <row r="27" spans="1:18" ht="26.25" x14ac:dyDescent="0.4">
      <c r="B27" s="190" t="s">
        <v>99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O27" s="139" t="s">
        <v>102</v>
      </c>
      <c r="P27" s="107"/>
    </row>
    <row r="29" spans="1:18" ht="47.25" x14ac:dyDescent="0.25">
      <c r="C29" s="154"/>
      <c r="D29" s="153" t="s">
        <v>172</v>
      </c>
      <c r="E29" s="17" t="s">
        <v>174</v>
      </c>
      <c r="F29" s="101" t="s">
        <v>175</v>
      </c>
      <c r="G29" s="101" t="s">
        <v>173</v>
      </c>
      <c r="H29" s="148" t="s">
        <v>37</v>
      </c>
      <c r="I29" s="149"/>
      <c r="J29" s="149"/>
      <c r="K29" s="149"/>
      <c r="O29" s="92" t="s">
        <v>67</v>
      </c>
      <c r="P29" s="89" t="s">
        <v>165</v>
      </c>
      <c r="Q29" s="12"/>
      <c r="R29" s="12"/>
    </row>
    <row r="30" spans="1:18" ht="18.75" x14ac:dyDescent="0.3">
      <c r="B30" s="193" t="s">
        <v>176</v>
      </c>
      <c r="C30" s="194"/>
      <c r="D30" s="33"/>
      <c r="E30" s="33"/>
      <c r="F30" s="33"/>
      <c r="G30" s="37">
        <v>1700</v>
      </c>
      <c r="H30" s="152">
        <f>SUM(D30:G30)</f>
        <v>1700</v>
      </c>
      <c r="I30" s="150"/>
      <c r="J30" s="150"/>
      <c r="K30" s="151"/>
      <c r="O30" s="93"/>
      <c r="P30" s="90" t="s">
        <v>199</v>
      </c>
      <c r="Q30" s="12"/>
      <c r="R30" s="12"/>
    </row>
    <row r="31" spans="1:18" ht="15.75" x14ac:dyDescent="0.25">
      <c r="O31" s="92" t="s">
        <v>113</v>
      </c>
      <c r="P31" s="89" t="s">
        <v>117</v>
      </c>
      <c r="Q31" s="12"/>
      <c r="R31" s="12"/>
    </row>
    <row r="32" spans="1:18" x14ac:dyDescent="0.25">
      <c r="O32" s="93"/>
      <c r="P32" s="90" t="s">
        <v>118</v>
      </c>
      <c r="Q32" s="12"/>
      <c r="R32" s="12"/>
    </row>
    <row r="33" spans="1:28" s="13" customFormat="1" ht="31.5" x14ac:dyDescent="0.25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75" x14ac:dyDescent="0.25">
      <c r="A34" s="12" t="str">
        <f>ENCAISSEMENTS!A4</f>
        <v>oui</v>
      </c>
      <c r="B34" s="1" t="str">
        <f>ENCAISSEMENTS!B4</f>
        <v>INSTALL 1</v>
      </c>
      <c r="C34" s="16">
        <f>ENCAISSEMENTS!C4</f>
        <v>340</v>
      </c>
      <c r="D34" s="33">
        <v>350</v>
      </c>
      <c r="E34" s="33">
        <v>654</v>
      </c>
      <c r="F34" s="33">
        <v>500</v>
      </c>
      <c r="G34" s="161">
        <f>IF(ENCAISSEMENTS!D4&gt;36,447.78,IF(ENCAISSEMENTS!D4&gt;0,33.6,""))</f>
        <v>447.78</v>
      </c>
      <c r="H34" s="161" t="str">
        <f>IF(ENCAISSEMENTS!D4&gt;=100,3.155*ENCAISSEMENTS!D4,"")</f>
        <v/>
      </c>
      <c r="I34" s="37"/>
      <c r="J34" s="37"/>
      <c r="K34" s="108">
        <f>SUM(D34:J34)</f>
        <v>1951.78</v>
      </c>
      <c r="O34" s="159" t="s">
        <v>114</v>
      </c>
      <c r="P34" s="160" t="s">
        <v>166</v>
      </c>
      <c r="R34" s="12"/>
    </row>
    <row r="35" spans="1:28" ht="15.75" x14ac:dyDescent="0.25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1" t="str">
        <f>IF(ENCAISSEMENTS!D5&gt;36,447.78,IF(ENCAISSEMENTS!D5&gt;0,33.6,""))</f>
        <v/>
      </c>
      <c r="H35" s="161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5"/>
      <c r="P35" s="155"/>
      <c r="R35" s="12"/>
    </row>
    <row r="36" spans="1:28" ht="15.75" x14ac:dyDescent="0.25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1" t="str">
        <f>IF(ENCAISSEMENTS!D6&gt;36,447.78,IF(ENCAISSEMENTS!D6&gt;0,33.6,""))</f>
        <v/>
      </c>
      <c r="H36" s="161" t="str">
        <f>IF(ENCAISSEMENTS!D6&gt;=100,3.155*ENCAISSEMENTS!D6,"")</f>
        <v/>
      </c>
      <c r="I36" s="37"/>
      <c r="J36" s="37"/>
      <c r="K36" s="108">
        <f>SUM(D36:J36)</f>
        <v>0</v>
      </c>
      <c r="L36" s="147"/>
      <c r="O36" s="158"/>
      <c r="P36" s="156"/>
      <c r="R36" s="12"/>
    </row>
    <row r="37" spans="1:28" ht="15.75" x14ac:dyDescent="0.25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1" t="str">
        <f>IF(ENCAISSEMENTS!D7&gt;36,447.78,IF(ENCAISSEMENTS!D7&gt;0,33.6,""))</f>
        <v/>
      </c>
      <c r="H37" s="161" t="str">
        <f>IF(ENCAISSEMENTS!D7&gt;=100,3.155*ENCAISSEMENTS!D7,"")</f>
        <v/>
      </c>
      <c r="I37" s="37"/>
      <c r="J37" s="37"/>
      <c r="K37" s="108">
        <f t="shared" si="1"/>
        <v>0</v>
      </c>
      <c r="O37" s="157" t="s">
        <v>110</v>
      </c>
      <c r="P37" s="89" t="s">
        <v>115</v>
      </c>
      <c r="R37" s="12"/>
    </row>
    <row r="38" spans="1:28" ht="15.75" x14ac:dyDescent="0.25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1" t="str">
        <f>IF(ENCAISSEMENTS!D8&gt;36,447.78,IF(ENCAISSEMENTS!D8&gt;0,33.6,""))</f>
        <v/>
      </c>
      <c r="H38" s="161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75" x14ac:dyDescent="0.25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1" t="str">
        <f>IF(ENCAISSEMENTS!D9&gt;36,447.78,IF(ENCAISSEMENTS!D9&gt;0,33.6,""))</f>
        <v/>
      </c>
      <c r="H39" s="161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75" x14ac:dyDescent="0.25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1" t="str">
        <f>IF(ENCAISSEMENTS!D10&gt;36,447.78,IF(ENCAISSEMENTS!D10&gt;0,33.6,""))</f>
        <v/>
      </c>
      <c r="H40" s="161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75" x14ac:dyDescent="0.25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1" t="str">
        <f>IF(ENCAISSEMENTS!D11&gt;36,447.78,IF(ENCAISSEMENTS!D11&gt;0,33.6,""))</f>
        <v/>
      </c>
      <c r="H41" s="161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75" x14ac:dyDescent="0.25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1" t="str">
        <f>IF(ENCAISSEMENTS!D12&gt;36,447.78,IF(ENCAISSEMENTS!D12&gt;0,33.6,""))</f>
        <v/>
      </c>
      <c r="H42" s="161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75" x14ac:dyDescent="0.25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1" t="str">
        <f>IF(ENCAISSEMENTS!D13&gt;36,447.78,IF(ENCAISSEMENTS!D13&gt;0,33.6,""))</f>
        <v/>
      </c>
      <c r="H43" s="161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75" x14ac:dyDescent="0.25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1" t="str">
        <f>IF(ENCAISSEMENTS!D14&gt;36,447.78,IF(ENCAISSEMENTS!D14&gt;0,33.6,""))</f>
        <v/>
      </c>
      <c r="H44" s="161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75" x14ac:dyDescent="0.25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1" t="str">
        <f>IF(ENCAISSEMENTS!D15&gt;36,447.78,IF(ENCAISSEMENTS!D15&gt;0,33.6,""))</f>
        <v/>
      </c>
      <c r="H45" s="161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75" x14ac:dyDescent="0.25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1" t="str">
        <f>IF(ENCAISSEMENTS!D16&gt;36,447.78,IF(ENCAISSEMENTS!D16&gt;0,33.6,""))</f>
        <v/>
      </c>
      <c r="H46" s="161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75" x14ac:dyDescent="0.25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1" t="str">
        <f>IF(ENCAISSEMENTS!D17&gt;36,447.78,IF(ENCAISSEMENTS!D17&gt;0,33.6,""))</f>
        <v/>
      </c>
      <c r="H47" s="161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75" x14ac:dyDescent="0.25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1" t="str">
        <f>IF(ENCAISSEMENTS!D18&gt;36,447.78,IF(ENCAISSEMENTS!D18&gt;0,33.6,""))</f>
        <v/>
      </c>
      <c r="H48" s="161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75" x14ac:dyDescent="0.25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1" t="str">
        <f>IF(ENCAISSEMENTS!D19&gt;36,447.78,IF(ENCAISSEMENTS!D19&gt;0,33.6,""))</f>
        <v/>
      </c>
      <c r="H49" s="161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75" x14ac:dyDescent="0.25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1" t="str">
        <f>IF(ENCAISSEMENTS!D20&gt;36,447.78,IF(ENCAISSEMENTS!D20&gt;0,33.6,""))</f>
        <v/>
      </c>
      <c r="H50" s="161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75" x14ac:dyDescent="0.25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1" t="str">
        <f>IF(ENCAISSEMENTS!D21&gt;36,447.78,IF(ENCAISSEMENTS!D21&gt;0,33.6,""))</f>
        <v/>
      </c>
      <c r="H51" s="161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75" x14ac:dyDescent="0.25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1" t="str">
        <f>IF(ENCAISSEMENTS!D22&gt;36,447.78,IF(ENCAISSEMENTS!D22&gt;0,33.6,""))</f>
        <v/>
      </c>
      <c r="H52" s="161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5" thickBot="1" x14ac:dyDescent="0.3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1" t="str">
        <f>IF(ENCAISSEMENTS!D23&gt;36,447.78,IF(ENCAISSEMENTS!D23&gt;0,33.6,""))</f>
        <v/>
      </c>
      <c r="H53" s="161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9.5" thickBot="1" x14ac:dyDescent="0.35">
      <c r="A54" s="191" t="s">
        <v>138</v>
      </c>
      <c r="B54" s="192"/>
      <c r="C54" s="140">
        <f>SUMPRODUCT(C34:C53,ENCAISSEMENTS!$N$4:$N$23)</f>
        <v>340</v>
      </c>
      <c r="D54" s="140">
        <f>SUMPRODUCT(D34:D53,ENCAISSEMENTS!$N$4:$N$23)</f>
        <v>350</v>
      </c>
      <c r="E54" s="140">
        <f>SUMPRODUCT(E34:E53,ENCAISSEMENTS!$N$4:$N$23)</f>
        <v>654</v>
      </c>
      <c r="F54" s="140">
        <f>SUMPRODUCT(F34:F53,ENCAISSEMENTS!$N$4:$N$23)</f>
        <v>500</v>
      </c>
      <c r="G54" s="140">
        <f>SUMPRODUCT(G34:G53,ENCAISSEMENTS!$N$4:$N$23)</f>
        <v>447.78</v>
      </c>
      <c r="H54" s="140">
        <f>SUMPRODUCT(H34:H53,ENCAISSEMENTS!$N$4:$N$23)</f>
        <v>0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1951.78</v>
      </c>
      <c r="R54" s="12"/>
    </row>
    <row r="55" spans="1:18" x14ac:dyDescent="0.25">
      <c r="Q55" s="93"/>
    </row>
    <row r="56" spans="1:18" ht="26.25" x14ac:dyDescent="0.4">
      <c r="B56" s="190" t="s">
        <v>154</v>
      </c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</row>
    <row r="58" spans="1:18" x14ac:dyDescent="0.25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25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25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25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25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2021-12-05T09:24:59Z</dcterms:modified>
</cp:coreProperties>
</file>